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1_42156EAE055E1042A14CF5C4965C0585181CEFA3" xr6:coauthVersionLast="47" xr6:coauthVersionMax="47" xr10:uidLastSave="{00000000-0000-0000-0000-000000000000}"/>
  <bookViews>
    <workbookView xWindow="-98" yWindow="-98" windowWidth="21795" windowHeight="11625" tabRatio="500" activeTab="5" xr2:uid="{00000000-000D-0000-FFFF-FFFF00000000}"/>
  </bookViews>
  <sheets>
    <sheet name="Start Here" sheetId="1" r:id="rId1"/>
    <sheet name="Skills" sheetId="2" r:id="rId2"/>
    <sheet name="Matrix" sheetId="3" r:id="rId3"/>
    <sheet name="Coverage" sheetId="4" r:id="rId4"/>
    <sheet name="Training Plan" sheetId="5" r:id="rId5"/>
    <sheet name="Make It Stick" sheetId="6" r:id="rId6"/>
  </sheets>
  <definedNames>
    <definedName name="_xlnm.Print_Area" localSheetId="3">Coverage!$A$1:$J$26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23" i="4" l="1"/>
  <c r="R23" i="4"/>
  <c r="Q23" i="4"/>
  <c r="P23" i="4"/>
  <c r="N23" i="4"/>
  <c r="W23" i="4" s="1"/>
  <c r="X23" i="4" s="1"/>
  <c r="N22" i="4"/>
  <c r="V22" i="4" s="1"/>
  <c r="N21" i="4"/>
  <c r="W20" i="4"/>
  <c r="X20" i="4" s="1"/>
  <c r="V20" i="4"/>
  <c r="U20" i="4"/>
  <c r="T20" i="4"/>
  <c r="S20" i="4"/>
  <c r="R20" i="4"/>
  <c r="Q20" i="4"/>
  <c r="P20" i="4"/>
  <c r="O20" i="4"/>
  <c r="N20" i="4"/>
  <c r="W19" i="4"/>
  <c r="X19" i="4" s="1"/>
  <c r="V19" i="4"/>
  <c r="U19" i="4"/>
  <c r="T19" i="4"/>
  <c r="S19" i="4"/>
  <c r="R19" i="4"/>
  <c r="Q19" i="4"/>
  <c r="N19" i="4"/>
  <c r="P19" i="4" s="1"/>
  <c r="W18" i="4"/>
  <c r="X18" i="4" s="1"/>
  <c r="V18" i="4"/>
  <c r="U18" i="4"/>
  <c r="N18" i="4"/>
  <c r="T18" i="4" s="1"/>
  <c r="N17" i="4"/>
  <c r="W17" i="4" s="1"/>
  <c r="X17" i="4" s="1"/>
  <c r="Q16" i="4"/>
  <c r="N16" i="4"/>
  <c r="T16" i="4" s="1"/>
  <c r="N15" i="4"/>
  <c r="V15" i="4" s="1"/>
  <c r="N14" i="4"/>
  <c r="S13" i="4"/>
  <c r="R13" i="4"/>
  <c r="Q13" i="4"/>
  <c r="P13" i="4"/>
  <c r="T13" i="4" s="1"/>
  <c r="O13" i="4"/>
  <c r="N13" i="4"/>
  <c r="S12" i="4"/>
  <c r="R12" i="4"/>
  <c r="N12" i="4"/>
  <c r="Q12" i="4" s="1"/>
  <c r="N11" i="4"/>
  <c r="S10" i="4"/>
  <c r="R10" i="4"/>
  <c r="Q10" i="4"/>
  <c r="U10" i="4" s="1"/>
  <c r="W10" i="4" s="1"/>
  <c r="X10" i="4" s="1"/>
  <c r="P10" i="4"/>
  <c r="T10" i="4" s="1"/>
  <c r="O10" i="4"/>
  <c r="N10" i="4"/>
  <c r="N9" i="4"/>
  <c r="R9" i="4" s="1"/>
  <c r="Q9" i="3"/>
  <c r="Q6" i="3" s="1"/>
  <c r="P9" i="3"/>
  <c r="O9" i="3"/>
  <c r="O5" i="3" s="1"/>
  <c r="N9" i="3"/>
  <c r="N5" i="3" s="1"/>
  <c r="M9" i="3"/>
  <c r="M6" i="3" s="1"/>
  <c r="L9" i="3"/>
  <c r="L6" i="3" s="1"/>
  <c r="K9" i="3"/>
  <c r="K5" i="3" s="1"/>
  <c r="J9" i="3"/>
  <c r="I9" i="3"/>
  <c r="H9" i="3"/>
  <c r="G9" i="3"/>
  <c r="F9" i="3"/>
  <c r="E9" i="3"/>
  <c r="D9" i="3"/>
  <c r="C9" i="3"/>
  <c r="P6" i="3"/>
  <c r="O6" i="3"/>
  <c r="D6" i="3"/>
  <c r="Q5" i="3"/>
  <c r="P5" i="3"/>
  <c r="D5" i="3"/>
  <c r="Q21" i="4" l="1"/>
  <c r="P21" i="4"/>
  <c r="W21" i="4"/>
  <c r="X21" i="4" s="1"/>
  <c r="V21" i="4"/>
  <c r="U21" i="4"/>
  <c r="T21" i="4"/>
  <c r="S21" i="4"/>
  <c r="R21" i="4"/>
  <c r="O21" i="4"/>
  <c r="G5" i="3"/>
  <c r="G6" i="3"/>
  <c r="V10" i="4"/>
  <c r="H5" i="3"/>
  <c r="H6" i="3"/>
  <c r="U13" i="4"/>
  <c r="Q14" i="4"/>
  <c r="S14" i="4"/>
  <c r="R14" i="4"/>
  <c r="U14" i="4"/>
  <c r="W14" i="4" s="1"/>
  <c r="X14" i="4" s="1"/>
  <c r="T14" i="4"/>
  <c r="O14" i="4"/>
  <c r="P14" i="4"/>
  <c r="I5" i="3"/>
  <c r="I6" i="3"/>
  <c r="J5" i="3"/>
  <c r="J6" i="3"/>
  <c r="O9" i="4"/>
  <c r="Q15" i="4"/>
  <c r="P22" i="4"/>
  <c r="P9" i="4"/>
  <c r="R15" i="4"/>
  <c r="O16" i="4"/>
  <c r="Q22" i="4"/>
  <c r="K6" i="3"/>
  <c r="Q9" i="4"/>
  <c r="C5" i="3" s="1"/>
  <c r="S15" i="4"/>
  <c r="P16" i="4"/>
  <c r="R22" i="4"/>
  <c r="O23" i="4"/>
  <c r="S9" i="4"/>
  <c r="O17" i="4"/>
  <c r="N6" i="3"/>
  <c r="S16" i="4"/>
  <c r="R17" i="4"/>
  <c r="T23" i="4"/>
  <c r="Q11" i="4"/>
  <c r="E5" i="3" s="1"/>
  <c r="V16" i="4"/>
  <c r="U23" i="4"/>
  <c r="M5" i="3"/>
  <c r="R11" i="4"/>
  <c r="O12" i="4"/>
  <c r="W16" i="4"/>
  <c r="X16" i="4" s="1"/>
  <c r="T17" i="4"/>
  <c r="Q18" i="4"/>
  <c r="V23" i="4"/>
  <c r="S11" i="4"/>
  <c r="P12" i="4"/>
  <c r="T12" i="4" s="1"/>
  <c r="U17" i="4"/>
  <c r="R18" i="4"/>
  <c r="O19" i="4"/>
  <c r="P15" i="4"/>
  <c r="U15" i="4"/>
  <c r="R16" i="4"/>
  <c r="T22" i="4"/>
  <c r="T9" i="4"/>
  <c r="P17" i="4"/>
  <c r="U9" i="4"/>
  <c r="V9" i="4" s="1"/>
  <c r="O11" i="4"/>
  <c r="W15" i="4"/>
  <c r="X15" i="4" s="1"/>
  <c r="P11" i="4"/>
  <c r="U16" i="4"/>
  <c r="O18" i="4"/>
  <c r="W22" i="4"/>
  <c r="X22" i="4" s="1"/>
  <c r="L5" i="3"/>
  <c r="S17" i="4"/>
  <c r="P18" i="4"/>
  <c r="V17" i="4"/>
  <c r="S18" i="4"/>
  <c r="O15" i="4"/>
  <c r="O22" i="4"/>
  <c r="T15" i="4"/>
  <c r="S22" i="4"/>
  <c r="U22" i="4"/>
  <c r="Q17" i="4"/>
  <c r="F5" i="3" l="1"/>
  <c r="F5" i="4"/>
  <c r="C5" i="4"/>
  <c r="I5" i="4"/>
  <c r="A5" i="4"/>
  <c r="C6" i="3"/>
  <c r="W9" i="4"/>
  <c r="X9" i="4" s="1"/>
  <c r="T11" i="4"/>
  <c r="V14" i="4"/>
  <c r="U11" i="4"/>
  <c r="V13" i="4"/>
  <c r="W13" i="4"/>
  <c r="X13" i="4" s="1"/>
  <c r="U12" i="4"/>
  <c r="W12" i="4" l="1"/>
  <c r="X12" i="4" s="1"/>
  <c r="F6" i="3"/>
  <c r="V12" i="4"/>
  <c r="V11" i="4"/>
  <c r="E6" i="3"/>
  <c r="W11" i="4"/>
  <c r="X11" i="4" s="1"/>
  <c r="Y11" i="4" l="1"/>
  <c r="Y21" i="4"/>
  <c r="Y22" i="4"/>
  <c r="Y15" i="4"/>
  <c r="Y16" i="4"/>
  <c r="Y14" i="4"/>
  <c r="Y13" i="4"/>
  <c r="Y20" i="4"/>
  <c r="Y10" i="4"/>
  <c r="Y12" i="4"/>
  <c r="Y23" i="4"/>
  <c r="Y19" i="4"/>
  <c r="Y17" i="4"/>
  <c r="Y18" i="4"/>
  <c r="Y9" i="4"/>
  <c r="M18" i="4" l="1"/>
  <c r="M20" i="4"/>
  <c r="M11" i="4"/>
  <c r="M9" i="4"/>
  <c r="M13" i="4"/>
  <c r="M19" i="4"/>
  <c r="M12" i="4"/>
  <c r="M16" i="4"/>
  <c r="M22" i="4"/>
  <c r="M17" i="4"/>
  <c r="M10" i="4"/>
  <c r="M23" i="4"/>
  <c r="M14" i="4"/>
  <c r="M21" i="4"/>
  <c r="M15" i="4"/>
  <c r="A17" i="4" l="1"/>
  <c r="F17" i="4"/>
  <c r="H17" i="4"/>
  <c r="G17" i="4"/>
  <c r="J17" i="4"/>
  <c r="I17" i="4"/>
  <c r="D17" i="4"/>
  <c r="E17" i="4"/>
  <c r="C17" i="4"/>
  <c r="B17" i="4"/>
  <c r="G12" i="4"/>
  <c r="J12" i="4"/>
  <c r="I12" i="4"/>
  <c r="C12" i="4"/>
  <c r="B12" i="4"/>
  <c r="H12" i="4"/>
  <c r="A12" i="4"/>
  <c r="F12" i="4"/>
  <c r="E12" i="4"/>
  <c r="D12" i="4"/>
  <c r="G15" i="4"/>
  <c r="A15" i="4"/>
  <c r="F15" i="4"/>
  <c r="B15" i="4"/>
  <c r="E15" i="4"/>
  <c r="D15" i="4"/>
  <c r="C15" i="4"/>
  <c r="H15" i="4"/>
  <c r="J15" i="4"/>
  <c r="I15" i="4"/>
  <c r="I21" i="4"/>
  <c r="B21" i="4"/>
  <c r="H21" i="4"/>
  <c r="C21" i="4"/>
  <c r="A21" i="4"/>
  <c r="G21" i="4"/>
  <c r="F21" i="4"/>
  <c r="E21" i="4"/>
  <c r="D21" i="4"/>
  <c r="J21" i="4"/>
  <c r="J14" i="4"/>
  <c r="C14" i="4"/>
  <c r="A14" i="4"/>
  <c r="I14" i="4"/>
  <c r="F14" i="4"/>
  <c r="D14" i="4"/>
  <c r="H14" i="4"/>
  <c r="G14" i="4"/>
  <c r="E14" i="4"/>
  <c r="B14" i="4"/>
  <c r="C23" i="4"/>
  <c r="B23" i="4"/>
  <c r="J23" i="4"/>
  <c r="I23" i="4"/>
  <c r="H23" i="4"/>
  <c r="A23" i="4"/>
  <c r="F23" i="4"/>
  <c r="E23" i="4"/>
  <c r="D23" i="4"/>
  <c r="G23" i="4"/>
  <c r="B10" i="4"/>
  <c r="G10" i="4"/>
  <c r="A10" i="4"/>
  <c r="I10" i="4"/>
  <c r="H10" i="4"/>
  <c r="J10" i="4"/>
  <c r="F10" i="4"/>
  <c r="E10" i="4"/>
  <c r="D10" i="4"/>
  <c r="C10" i="4"/>
  <c r="E9" i="4"/>
  <c r="D9" i="4"/>
  <c r="A9" i="4"/>
  <c r="J9" i="4"/>
  <c r="C9" i="4"/>
  <c r="B9" i="4"/>
  <c r="F9" i="4"/>
  <c r="I9" i="4"/>
  <c r="H9" i="4"/>
  <c r="G9" i="4"/>
  <c r="F22" i="4"/>
  <c r="E22" i="4"/>
  <c r="A22" i="4"/>
  <c r="D22" i="4"/>
  <c r="C22" i="4"/>
  <c r="B22" i="4"/>
  <c r="J22" i="4"/>
  <c r="I22" i="4"/>
  <c r="H22" i="4"/>
  <c r="G22" i="4"/>
  <c r="D16" i="4"/>
  <c r="C16" i="4"/>
  <c r="J16" i="4"/>
  <c r="B16" i="4"/>
  <c r="A16" i="4"/>
  <c r="I16" i="4"/>
  <c r="H16" i="4"/>
  <c r="G16" i="4"/>
  <c r="F16" i="4"/>
  <c r="E16" i="4"/>
  <c r="H19" i="4"/>
  <c r="A19" i="4"/>
  <c r="I19" i="4"/>
  <c r="G19" i="4"/>
  <c r="B19" i="4"/>
  <c r="J19" i="4"/>
  <c r="F19" i="4"/>
  <c r="E19" i="4"/>
  <c r="D19" i="4"/>
  <c r="C19" i="4"/>
  <c r="G13" i="4"/>
  <c r="F13" i="4"/>
  <c r="I13" i="4"/>
  <c r="H13" i="4"/>
  <c r="E13" i="4"/>
  <c r="D13" i="4"/>
  <c r="J13" i="4"/>
  <c r="C13" i="4"/>
  <c r="B13" i="4"/>
  <c r="A13" i="4"/>
  <c r="F11" i="4"/>
  <c r="E11" i="4"/>
  <c r="D11" i="4"/>
  <c r="J11" i="4"/>
  <c r="I11" i="4"/>
  <c r="H11" i="4"/>
  <c r="G11" i="4"/>
  <c r="C11" i="4"/>
  <c r="B11" i="4"/>
  <c r="A11" i="4"/>
  <c r="E20" i="4"/>
  <c r="C20" i="4"/>
  <c r="H20" i="4"/>
  <c r="G20" i="4"/>
  <c r="F20" i="4"/>
  <c r="D20" i="4"/>
  <c r="J20" i="4"/>
  <c r="I20" i="4"/>
  <c r="B20" i="4"/>
  <c r="A20" i="4"/>
  <c r="I18" i="4"/>
  <c r="J18" i="4"/>
  <c r="E18" i="4"/>
  <c r="D18" i="4"/>
  <c r="H18" i="4"/>
  <c r="G18" i="4"/>
  <c r="F18" i="4"/>
  <c r="C18" i="4"/>
  <c r="A18" i="4"/>
  <c r="B18" i="4"/>
</calcChain>
</file>

<file path=xl/sharedStrings.xml><?xml version="1.0" encoding="utf-8"?>
<sst xmlns="http://schemas.openxmlformats.org/spreadsheetml/2006/main" count="192" uniqueCount="162">
  <si>
    <r>
      <rPr>
        <b/>
        <sz val="18"/>
        <color rgb="FFFFFFFF"/>
        <rFont val="Arial"/>
        <charset val="1"/>
      </rPr>
      <t xml:space="preserve">Skill Matrix
</t>
    </r>
    <r>
      <rPr>
        <b/>
        <sz val="9"/>
        <color rgb="FFF97316"/>
        <rFont val="Arial"/>
        <charset val="1"/>
      </rPr>
      <t>FREE TEMPLATE  ·  ANDON TOOL</t>
    </r>
  </si>
  <si>
    <t>Who can run what — and where one call-in stops a job.</t>
  </si>
  <si>
    <t>The tabs come filled with an example so you can see how it works. Type over it with your own area.</t>
  </si>
  <si>
    <t>Two colors tell you everything</t>
  </si>
  <si>
    <t>Orange cells</t>
  </si>
  <si>
    <t>You type here: names, skills, levels, targets, dates.</t>
  </si>
  <si>
    <t>Green cells</t>
  </si>
  <si>
    <t>Calculated for you. Don't type here — they update on their own.</t>
  </si>
  <si>
    <t>Get going in 15 minutes</t>
  </si>
  <si>
    <t>1  Skills tab</t>
  </si>
  <si>
    <t>List the skills your area needs (up to 15). For each one, write a line on what "qualified" means, and set a target: how many qualified people you need.</t>
  </si>
  <si>
    <t>2  Matrix tab</t>
  </si>
  <si>
    <t>List your people (up to 30) and rate each skill from 0 to 4 using the dropdown. The Status row reacts as you type.</t>
  </si>
  <si>
    <t>3  Coverage tab</t>
  </si>
  <si>
    <t>Every skill on one page, worst gaps first, with the next step for each. Print it for your huddle board.</t>
  </si>
  <si>
    <t>4  Training Plan tab</t>
  </si>
  <si>
    <t>Put every gap on the plan with a trainer and a target date. Start with Single point of failure and No coverage.</t>
  </si>
  <si>
    <t>5  Keep it alive</t>
  </si>
  <si>
    <t>Review it once a month, and whenever someone joins, leaves, or changes jobs.</t>
  </si>
  <si>
    <t>The five levels</t>
  </si>
  <si>
    <t>0   Not trained</t>
  </si>
  <si>
    <t>Hasn't started training on this skill.</t>
  </si>
  <si>
    <t>1   Learning</t>
  </si>
  <si>
    <t>In training. Works only with a qualified person beside them.</t>
  </si>
  <si>
    <t>2   Can do with help</t>
  </si>
  <si>
    <t>Does the job, but needs help with problems, setups, or changeovers.</t>
  </si>
  <si>
    <t>3   Can do alone</t>
  </si>
  <si>
    <t>Qualified. Does the job to standard without help.</t>
  </si>
  <si>
    <t>4   Can train others</t>
  </si>
  <si>
    <t>Qualified, and able to teach the skill to others.</t>
  </si>
  <si>
    <t>What each status means</t>
  </si>
  <si>
    <t>Covered</t>
  </si>
  <si>
    <t>Enough qualified people to meet your target.</t>
  </si>
  <si>
    <t>Below target</t>
  </si>
  <si>
    <t>Some coverage, but not enough. Plan training here.</t>
  </si>
  <si>
    <t>Single point of failure</t>
  </si>
  <si>
    <t>One qualified person. If they're out, the job stops. Train a backup first.</t>
  </si>
  <si>
    <t>No coverage</t>
  </si>
  <si>
    <t>Nobody is qualified. This is your biggest risk.</t>
  </si>
  <si>
    <t>Want the reasoning behind all this? See the Make It Stick tab.</t>
  </si>
  <si>
    <t>Free template from Andon Tool · andontool.com</t>
  </si>
  <si>
    <r>
      <rPr>
        <b/>
        <sz val="18"/>
        <color rgb="FFFFFFFF"/>
        <rFont val="Arial"/>
        <charset val="1"/>
      </rPr>
      <t xml:space="preserve">Skills
</t>
    </r>
    <r>
      <rPr>
        <b/>
        <sz val="9"/>
        <color rgb="FFF97316"/>
        <rFont val="Arial"/>
        <charset val="1"/>
      </rPr>
      <t>FREE TEMPLATE  ·  ANDON TOOL</t>
    </r>
  </si>
  <si>
    <t>List each skill once. Writing down what "qualified" means is what turns a rating into a standard.</t>
  </si>
  <si>
    <t>Type here</t>
  </si>
  <si>
    <t>Type in the orange cells. The Matrix tab picks up skill names and targets from here.</t>
  </si>
  <si>
    <t>#</t>
  </si>
  <si>
    <t>Skill</t>
  </si>
  <si>
    <t>Area / machine</t>
  </si>
  <si>
    <t>What "qualified" means (level 3)</t>
  </si>
  <si>
    <t>Target</t>
  </si>
  <si>
    <t>Press Brake Setup</t>
  </si>
  <si>
    <t>Press Brake 1–3</t>
  </si>
  <si>
    <t>Sets up tooling from the setup sheet and runs a first part to print without help.</t>
  </si>
  <si>
    <t>Laser Operation</t>
  </si>
  <si>
    <t>Laser</t>
  </si>
  <si>
    <t>Loads a nest, runs the program, and handles routine alarms without help.</t>
  </si>
  <si>
    <t>Robot Weld Program Select</t>
  </si>
  <si>
    <t>Robot 1–2</t>
  </si>
  <si>
    <t>Selects and verifies the right program and fixture, and recovers routine faults.</t>
  </si>
  <si>
    <t>Forklift</t>
  </si>
  <si>
    <t>All areas</t>
  </si>
  <si>
    <t>Holds a current site authorization and follows site driving rules.</t>
  </si>
  <si>
    <t>First-Article Inspection</t>
  </si>
  <si>
    <t>Quality</t>
  </si>
  <si>
    <t>Measures a first part against the print and completes the inspection form correctly.</t>
  </si>
  <si>
    <t>Changeover</t>
  </si>
  <si>
    <t>Weld cells</t>
  </si>
  <si>
    <t>Completes a standard changeover to the checklist within the target time.</t>
  </si>
  <si>
    <t>Area</t>
  </si>
  <si>
    <t>Fabrication &amp; Weld</t>
  </si>
  <si>
    <t>Last updated</t>
  </si>
  <si>
    <t>Calculated</t>
  </si>
  <si>
    <t>← Orange: you type.  Green: calculated for you.</t>
  </si>
  <si>
    <t>Levels</t>
  </si>
  <si>
    <t>0  Not trained</t>
  </si>
  <si>
    <t>1  Learning</t>
  </si>
  <si>
    <t>2  Can do with help</t>
  </si>
  <si>
    <t>3  Can do alone</t>
  </si>
  <si>
    <t>4  Can train others</t>
  </si>
  <si>
    <t>Rate people 0–4 in the orange grid. Skill names and targets come from the Skills tab.</t>
  </si>
  <si>
    <t>Qualified / target</t>
  </si>
  <si>
    <t>Status</t>
  </si>
  <si>
    <t>Full breakdown and next steps, worst gaps first: see the Coverage tab →</t>
  </si>
  <si>
    <t>Employee</t>
  </si>
  <si>
    <t>Shift / role</t>
  </si>
  <si>
    <t>Alex</t>
  </si>
  <si>
    <t>1st / Setup</t>
  </si>
  <si>
    <t>Sam</t>
  </si>
  <si>
    <t>1st / Operator</t>
  </si>
  <si>
    <t>Jordan</t>
  </si>
  <si>
    <t>Maria</t>
  </si>
  <si>
    <t>2nd / Welder</t>
  </si>
  <si>
    <t>Luis</t>
  </si>
  <si>
    <t>Kim</t>
  </si>
  <si>
    <t>2nd / Operator</t>
  </si>
  <si>
    <t>Coverage is shown per skill on purpose. Use it to plan training, never to rank people.</t>
  </si>
  <si>
    <r>
      <rPr>
        <b/>
        <sz val="18"/>
        <color rgb="FFFFFFFF"/>
        <rFont val="Arial"/>
        <charset val="1"/>
      </rPr>
      <t xml:space="preserve">Skill Coverage
</t>
    </r>
    <r>
      <rPr>
        <b/>
        <sz val="9"/>
        <color rgb="FFF97316"/>
        <rFont val="Arial"/>
        <charset val="1"/>
      </rPr>
      <t>FREE TEMPLATE  ·  ANDON TOOL</t>
    </r>
  </si>
  <si>
    <t>Calculated from the Matrix tab — nothing to type here. Worst gaps first.</t>
  </si>
  <si>
    <t>NO COVERAGE</t>
  </si>
  <si>
    <t>SINGLE POINT OF FAILURE</t>
  </si>
  <si>
    <t>BELOW TARGET</t>
  </si>
  <si>
    <t>COVERED</t>
  </si>
  <si>
    <t>Number of skills in each status.</t>
  </si>
  <si>
    <t>Qualified</t>
  </si>
  <si>
    <t>Can train</t>
  </si>
  <si>
    <t>In training</t>
  </si>
  <si>
    <t>Gap</t>
  </si>
  <si>
    <t>Next step</t>
  </si>
  <si>
    <t>Start at the top: every Single point of failure is one sick day away from a stopped job.</t>
  </si>
  <si>
    <r>
      <rPr>
        <b/>
        <sz val="18"/>
        <color rgb="FFFFFFFF"/>
        <rFont val="Arial"/>
        <charset val="1"/>
      </rPr>
      <t xml:space="preserve">Training Plan
</t>
    </r>
    <r>
      <rPr>
        <b/>
        <sz val="9"/>
        <color rgb="FFF97316"/>
        <rFont val="Arial"/>
        <charset val="1"/>
      </rPr>
      <t>FREE TEMPLATE  ·  ANDON TOOL</t>
    </r>
  </si>
  <si>
    <t>Turn the gaps into a plan: who's learning, who's teaching, and by when. Start with Single point of failure and No coverage.</t>
  </si>
  <si>
    <t>When someone reaches level 3 or 4, have a qualified person sign it off here, then update the Matrix.</t>
  </si>
  <si>
    <t>Person in training</t>
  </si>
  <si>
    <t>Trainer</t>
  </si>
  <si>
    <t>Started</t>
  </si>
  <si>
    <t>Target date</t>
  </si>
  <si>
    <t>Level reached</t>
  </si>
  <si>
    <t>Signed off by</t>
  </si>
  <si>
    <t>Sign-off date</t>
  </si>
  <si>
    <t>Notes</t>
  </si>
  <si>
    <t>Maintenance lead</t>
  </si>
  <si>
    <t>No one is qualified yet. Alex is closest.</t>
  </si>
  <si>
    <t>Backup for Jordan, the only qualified person.</t>
  </si>
  <si>
    <t>Site trainer</t>
  </si>
  <si>
    <t>Safety coordinator</t>
  </si>
  <si>
    <t>Authorization card issued.</t>
  </si>
  <si>
    <r>
      <rPr>
        <b/>
        <sz val="18"/>
        <color rgb="FFFFFFFF"/>
        <rFont val="Arial"/>
        <charset val="1"/>
      </rPr>
      <t xml:space="preserve">Make It Stick
</t>
    </r>
    <r>
      <rPr>
        <b/>
        <sz val="9"/>
        <color rgb="FFF97316"/>
        <rFont val="Arial"/>
        <charset val="1"/>
      </rPr>
      <t>FREE TEMPLATE  ·  ANDON TOOL</t>
    </r>
  </si>
  <si>
    <t>A skill matrix only works if people trust it. Six rules that keep it honest.</t>
  </si>
  <si>
    <t>1</t>
  </si>
  <si>
    <t>Write down what "qualified" means.</t>
  </si>
  <si>
    <t>A level without a standard is an opinion. One line per skill, on the Skills tab, settles most arguments before they start.</t>
  </si>
  <si>
    <t>2</t>
  </si>
  <si>
    <t>Someone qualified signs off levels 3 and 4.</t>
  </si>
  <si>
    <t>Self-ratings drift, in both directions. A sign-off from someone who can do the job makes the matrix something you can stand behind.</t>
  </si>
  <si>
    <t>3</t>
  </si>
  <si>
    <t>Set targets by shift, not by headcount.</t>
  </si>
  <si>
    <t>Count at least one qualified person on every shift that runs the job, then add a backup for vacations and call-ins.</t>
  </si>
  <si>
    <t>4</t>
  </si>
  <si>
    <t>Fix single points of failure first.</t>
  </si>
  <si>
    <t>One person who can run a job is one sick day away from a stopped line. A backup there is worth more than a third expert somewhere else.</t>
  </si>
  <si>
    <t>5</t>
  </si>
  <si>
    <t>Review it monthly — out loud.</t>
  </si>
  <si>
    <t>Put it on the agenda at a team huddle or the board. Update it whenever someone joins, leaves, or changes jobs. A stale matrix is worse than none, because people still trust it.</t>
  </si>
  <si>
    <t>6</t>
  </si>
  <si>
    <t>Coverage, not scores.</t>
  </si>
  <si>
    <t>Use it to plan training, never to rank people. The day it becomes a scoreboard, people stop being honest about what they can't do yet — and the matrix stops telling you the truth.</t>
  </si>
  <si>
    <t>When a spreadsheet stops being enough</t>
  </si>
  <si>
    <t>This file works well for one area. These are the signs you've outgrown it:</t>
  </si>
  <si>
    <t>•</t>
  </si>
  <si>
    <t>You run more than one department, and each one keeps its own copy.</t>
  </si>
  <si>
    <t>Training has to be repeated on a schedule, and you're tracking due dates by hand.</t>
  </si>
  <si>
    <t>You need a record of who trained and signed off whom, and when.</t>
  </si>
  <si>
    <t>More than one supervisor edits the file, and the copies don't match.</t>
  </si>
  <si>
    <t>You want it on the floor TV or a phone, not in someone's inbox.</t>
  </si>
  <si>
    <t>What Andon Tool's Skill Matrix adds</t>
  </si>
  <si>
    <t>Every department in one place, with each supervisor seeing only their own.</t>
  </si>
  <si>
    <t>Levels, targets, and coverage risk calculated as you go — nothing to copy or email.</t>
  </si>
  <si>
    <t>Repeating training, with overdue flags.</t>
  </si>
  <si>
    <t>Conversation records, reviews, and development plans kept with each person.</t>
  </si>
  <si>
    <t>A one-page review sheet for each employee, ready to print.</t>
  </si>
  <si>
    <t>New Andon Tool customers get the Skill Matrix free for their first month. See plans at andontool.com</t>
  </si>
  <si>
    <t>Free template from Andon Tool. Copy it, change it, share it with your team.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</si>
</sst>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9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b/>
      <sz val="9"/>
      <color rgb="FFF97316"/>
      <name val="Arial"/>
      <charset val="1"/>
    </font>
    <font>
      <b/>
      <sz val="13"/>
      <color rgb="FFF97316"/>
      <name val="Arial"/>
      <charset val="1"/>
    </font>
    <font>
      <i/>
      <sz val="10"/>
      <color rgb="FF6B7280"/>
      <name val="Arial"/>
      <charset val="1"/>
    </font>
    <font>
      <b/>
      <sz val="13"/>
      <color rgb="FF141414"/>
      <name val="Arial"/>
      <charset val="1"/>
    </font>
    <font>
      <b/>
      <sz val="10"/>
      <color rgb="FF1F2937"/>
      <name val="Arial"/>
      <charset val="1"/>
    </font>
    <font>
      <sz val="10"/>
      <color rgb="FF1F2937"/>
      <name val="Arial"/>
      <charset val="1"/>
    </font>
    <font>
      <b/>
      <sz val="10"/>
      <color rgb="FF065F46"/>
      <name val="Arial"/>
      <charset val="1"/>
    </font>
    <font>
      <b/>
      <sz val="10"/>
      <color rgb="FF141414"/>
      <name val="Arial"/>
      <charset val="1"/>
    </font>
    <font>
      <b/>
      <sz val="10"/>
      <color rgb="FF6B7280"/>
      <name val="Arial"/>
      <charset val="1"/>
    </font>
    <font>
      <b/>
      <sz val="10"/>
      <color rgb="FFFFFFFF"/>
      <name val="Arial"/>
      <charset val="1"/>
    </font>
    <font>
      <sz val="10"/>
      <color rgb="FFFFFFFF"/>
      <name val="Arial"/>
      <charset val="1"/>
    </font>
    <font>
      <sz val="9"/>
      <color rgb="FF6B7280"/>
      <name val="Arial"/>
      <charset val="1"/>
    </font>
    <font>
      <i/>
      <sz val="9"/>
      <color rgb="FF6B7280"/>
      <name val="Arial"/>
      <charset val="1"/>
    </font>
    <font>
      <b/>
      <sz val="9"/>
      <color rgb="FF1F2937"/>
      <name val="Arial"/>
      <charset val="1"/>
    </font>
    <font>
      <b/>
      <sz val="9"/>
      <color rgb="FF065F46"/>
      <name val="Arial"/>
      <charset val="1"/>
    </font>
    <font>
      <b/>
      <sz val="8"/>
      <color rgb="FF6B7280"/>
      <name val="Arial"/>
      <charset val="1"/>
    </font>
    <font>
      <b/>
      <sz val="8"/>
      <color rgb="FF1F2937"/>
      <name val="Arial"/>
      <charset val="1"/>
    </font>
    <font>
      <b/>
      <sz val="8"/>
      <color rgb="FF141414"/>
      <name val="Arial"/>
      <charset val="1"/>
    </font>
    <font>
      <b/>
      <sz val="8"/>
      <color rgb="FFFFFFFF"/>
      <name val="Arial"/>
      <charset val="1"/>
    </font>
    <font>
      <sz val="10"/>
      <color rgb="FF065F46"/>
      <name val="Arial"/>
      <charset val="1"/>
    </font>
    <font>
      <b/>
      <sz val="10"/>
      <color rgb="FFF97316"/>
      <name val="Arial"/>
      <charset val="1"/>
    </font>
    <font>
      <i/>
      <sz val="9"/>
      <color rgb="FF065F46"/>
      <name val="Arial"/>
      <charset val="1"/>
    </font>
    <font>
      <b/>
      <sz val="20"/>
      <color rgb="FF1F2937"/>
      <name val="Arial"/>
      <charset val="1"/>
    </font>
    <font>
      <b/>
      <sz val="12"/>
      <color rgb="FFF97316"/>
      <name val="Arial"/>
      <charset val="1"/>
    </font>
    <font>
      <b/>
      <sz val="14"/>
      <color rgb="FFF97316"/>
      <name val="Arial"/>
      <charset val="1"/>
    </font>
    <font>
      <b/>
      <sz val="12"/>
      <color rgb="FF141414"/>
      <name val="Arial"/>
      <charset val="1"/>
    </font>
    <font>
      <b/>
      <sz val="13"/>
      <color rgb="FFFFFFFF"/>
      <name val="Arial"/>
      <charset val="1"/>
    </font>
  </fonts>
  <fills count="13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FF7ED"/>
        <bgColor rgb="FFF3F4F6"/>
      </patternFill>
    </fill>
    <fill>
      <patternFill patternType="solid">
        <fgColor rgb="FFECFDF5"/>
        <bgColor rgb="FFF3F4F6"/>
      </patternFill>
    </fill>
    <fill>
      <patternFill patternType="solid">
        <fgColor rgb="FFF3F4F6"/>
        <bgColor rgb="FFFFF7ED"/>
      </patternFill>
    </fill>
    <fill>
      <patternFill patternType="solid">
        <fgColor rgb="FFFED7AA"/>
        <bgColor rgb="FFFECACA"/>
      </patternFill>
    </fill>
    <fill>
      <patternFill patternType="solid">
        <fgColor rgb="FFFDBA74"/>
        <bgColor rgb="FFFED7AA"/>
      </patternFill>
    </fill>
    <fill>
      <patternFill patternType="solid">
        <fgColor rgb="FFF97316"/>
        <bgColor rgb="FFFF9900"/>
      </patternFill>
    </fill>
    <fill>
      <patternFill patternType="solid">
        <fgColor rgb="FFC2410C"/>
        <bgColor rgb="FF993366"/>
      </patternFill>
    </fill>
    <fill>
      <patternFill patternType="solid">
        <fgColor rgb="FFBBF7D0"/>
        <bgColor rgb="FFD1D5DB"/>
      </patternFill>
    </fill>
    <fill>
      <patternFill patternType="solid">
        <fgColor rgb="FFFDE68A"/>
        <bgColor rgb="FFFED7AA"/>
      </patternFill>
    </fill>
    <fill>
      <patternFill patternType="solid">
        <fgColor rgb="FFFECACA"/>
        <bgColor rgb="FFFED7AA"/>
      </patternFill>
    </fill>
  </fills>
  <borders count="8">
    <border>
      <left/>
      <right/>
      <top/>
      <bottom/>
      <diagonal/>
    </border>
    <border>
      <left/>
      <right/>
      <top/>
      <bottom style="thick">
        <color rgb="FFF97316"/>
      </bottom>
      <diagonal/>
    </border>
    <border>
      <left style="thin">
        <color rgb="FFFDBA74"/>
      </left>
      <right style="thin">
        <color rgb="FFFDBA74"/>
      </right>
      <top style="thin">
        <color rgb="FFFDBA74"/>
      </top>
      <bottom style="thin">
        <color rgb="FFFDBA74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ck">
        <color rgb="FFF97316"/>
      </left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ck">
        <color rgb="FFF97316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4" fillId="12" borderId="7" xfId="0" applyFont="1" applyFill="1" applyBorder="1" applyAlignment="1">
      <alignment horizontal="center" vertical="center" wrapText="1"/>
    </xf>
    <xf numFmtId="0" fontId="18" fillId="10" borderId="6" xfId="0" applyFont="1" applyFill="1" applyBorder="1" applyAlignment="1">
      <alignment horizontal="center" vertical="center" wrapText="1"/>
    </xf>
    <xf numFmtId="0" fontId="18" fillId="11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164" fontId="7" fillId="3" borderId="2" xfId="0" applyNumberFormat="1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center" wrapText="1" indent="1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vertical="top" wrapText="1"/>
    </xf>
    <xf numFmtId="0" fontId="8" fillId="4" borderId="3" xfId="0" applyFont="1" applyFill="1" applyBorder="1" applyAlignment="1">
      <alignment horizontal="left" vertical="center"/>
    </xf>
    <xf numFmtId="0" fontId="9" fillId="0" borderId="4" xfId="0" applyFont="1" applyBorder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6" fillId="6" borderId="0" xfId="0" applyFont="1" applyFill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6" fillId="7" borderId="0" xfId="0" applyFont="1" applyFill="1" applyAlignment="1">
      <alignment vertical="top" wrapText="1"/>
    </xf>
    <xf numFmtId="0" fontId="7" fillId="7" borderId="0" xfId="0" applyFont="1" applyFill="1" applyAlignment="1">
      <alignment vertical="top" wrapText="1"/>
    </xf>
    <xf numFmtId="0" fontId="9" fillId="8" borderId="0" xfId="0" applyFont="1" applyFill="1" applyAlignment="1">
      <alignment vertical="top" wrapText="1"/>
    </xf>
    <xf numFmtId="0" fontId="7" fillId="8" borderId="0" xfId="0" applyFont="1" applyFill="1" applyAlignment="1">
      <alignment vertical="top" wrapText="1"/>
    </xf>
    <xf numFmtId="0" fontId="11" fillId="9" borderId="0" xfId="0" applyFont="1" applyFill="1" applyAlignment="1">
      <alignment vertical="top" wrapText="1"/>
    </xf>
    <xf numFmtId="0" fontId="12" fillId="9" borderId="0" xfId="0" applyFont="1" applyFill="1" applyAlignment="1">
      <alignment vertical="top" wrapText="1"/>
    </xf>
    <xf numFmtId="0" fontId="6" fillId="10" borderId="0" xfId="0" applyFont="1" applyFill="1" applyAlignment="1">
      <alignment vertical="top" wrapText="1"/>
    </xf>
    <xf numFmtId="0" fontId="7" fillId="10" borderId="0" xfId="0" applyFont="1" applyFill="1" applyAlignment="1">
      <alignment vertical="top" wrapText="1"/>
    </xf>
    <xf numFmtId="0" fontId="6" fillId="11" borderId="0" xfId="0" applyFont="1" applyFill="1" applyAlignment="1">
      <alignment vertical="top" wrapText="1"/>
    </xf>
    <xf numFmtId="0" fontId="7" fillId="11" borderId="0" xfId="0" applyFont="1" applyFill="1" applyAlignment="1">
      <alignment vertical="top" wrapText="1"/>
    </xf>
    <xf numFmtId="0" fontId="6" fillId="12" borderId="0" xfId="0" applyFont="1" applyFill="1" applyAlignment="1">
      <alignment vertical="top" wrapText="1"/>
    </xf>
    <xf numFmtId="0" fontId="7" fillId="12" borderId="0" xfId="0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3" borderId="2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7" fillId="3" borderId="2" xfId="0" applyFont="1" applyFill="1" applyBorder="1" applyAlignment="1" applyProtection="1">
      <alignment horizontal="left" vertical="center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3" fillId="0" borderId="0" xfId="0" applyFont="1"/>
    <xf numFmtId="0" fontId="6" fillId="3" borderId="2" xfId="0" applyFont="1" applyFill="1" applyBorder="1" applyAlignment="1" applyProtection="1">
      <alignment horizontal="center" vertical="center"/>
      <protection locked="0"/>
    </xf>
    <xf numFmtId="0" fontId="13" fillId="0" borderId="0" xfId="0" applyFont="1"/>
    <xf numFmtId="0" fontId="8" fillId="4" borderId="3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0" fillId="3" borderId="0" xfId="0" applyFill="1"/>
    <xf numFmtId="0" fontId="7" fillId="3" borderId="0" xfId="0" applyFont="1" applyFill="1" applyAlignment="1">
      <alignment vertical="top" wrapText="1"/>
    </xf>
    <xf numFmtId="0" fontId="22" fillId="3" borderId="0" xfId="0" applyFont="1" applyFill="1" applyAlignment="1">
      <alignment vertical="top" wrapText="1"/>
    </xf>
    <xf numFmtId="0" fontId="24" fillId="6" borderId="7" xfId="0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top" wrapText="1"/>
    </xf>
    <xf numFmtId="0" fontId="28" fillId="2" borderId="4" xfId="0" applyFont="1" applyFill="1" applyBorder="1" applyAlignment="1">
      <alignment vertical="center" indent="1"/>
    </xf>
  </cellXfs>
  <cellStyles count="1">
    <cellStyle name="Normal" xfId="0" builtinId="0"/>
  </cellStyles>
  <dxfs count="13">
    <dxf>
      <fill>
        <patternFill>
          <bgColor rgb="FFFECACA"/>
        </patternFill>
      </fill>
    </dxf>
    <dxf>
      <fill>
        <patternFill>
          <bgColor rgb="FFFED7A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  <dxf>
      <font>
        <b/>
        <color rgb="FFFFFFFF"/>
      </font>
      <fill>
        <patternFill>
          <bgColor rgb="FFC2410C"/>
        </patternFill>
      </fill>
    </dxf>
    <dxf>
      <font>
        <b/>
        <color rgb="FF141414"/>
      </font>
      <fill>
        <patternFill>
          <bgColor rgb="FFF97316"/>
        </patternFill>
      </fill>
    </dxf>
    <dxf>
      <font>
        <b/>
        <color rgb="FF1F2937"/>
      </font>
      <fill>
        <patternFill>
          <bgColor rgb="FFFDBA74"/>
        </patternFill>
      </fill>
    </dxf>
    <dxf>
      <font>
        <b/>
        <color rgb="FF1F2937"/>
      </font>
      <fill>
        <patternFill>
          <bgColor rgb="FFFED7AA"/>
        </patternFill>
      </fill>
    </dxf>
    <dxf>
      <font>
        <b/>
        <color rgb="FF6B7280"/>
      </font>
      <fill>
        <patternFill>
          <bgColor rgb="FFF3F4F6"/>
        </patternFill>
      </fill>
    </dxf>
    <dxf>
      <fill>
        <patternFill>
          <bgColor rgb="FFFECACA"/>
        </patternFill>
      </fill>
    </dxf>
    <dxf>
      <fill>
        <patternFill>
          <bgColor rgb="FFFED7A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5F46"/>
      <rgbColor rgb="FFFECACA"/>
      <rgbColor rgb="FF808080"/>
      <rgbColor rgb="FF9999FF"/>
      <rgbColor rgb="FF993366"/>
      <rgbColor rgb="FFFFF7ED"/>
      <rgbColor rgb="FFECFDF5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BBF7D0"/>
      <rgbColor rgb="FFFDE68A"/>
      <rgbColor rgb="FF99CCFF"/>
      <rgbColor rgb="FFFDBA74"/>
      <rgbColor rgb="FFCC99FF"/>
      <rgbColor rgb="FFFED7AA"/>
      <rgbColor rgb="FF3366FF"/>
      <rgbColor rgb="FF33CCCC"/>
      <rgbColor rgb="FF99CC00"/>
      <rgbColor rgb="FFFFCC00"/>
      <rgbColor rgb="FFFF9900"/>
      <rgbColor rgb="FFF97316"/>
      <rgbColor rgb="FF6B7280"/>
      <rgbColor rgb="FF969696"/>
      <rgbColor rgb="FF003366"/>
      <rgbColor rgb="FF339966"/>
      <rgbColor rgb="FF141414"/>
      <rgbColor rgb="FF333300"/>
      <rgbColor rgb="FFC2410C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4448160</xdr:colOff>
      <xdr:row>0</xdr:row>
      <xdr:rowOff>104760</xdr:rowOff>
    </xdr:from>
    <xdr:to>
      <xdr:col>2</xdr:col>
      <xdr:colOff>4885920</xdr:colOff>
      <xdr:row>0</xdr:row>
      <xdr:rowOff>542520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492240" y="10476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314280</xdr:colOff>
      <xdr:row>0</xdr:row>
      <xdr:rowOff>104760</xdr:rowOff>
    </xdr:from>
    <xdr:to>
      <xdr:col>4</xdr:col>
      <xdr:colOff>752040</xdr:colOff>
      <xdr:row>0</xdr:row>
      <xdr:rowOff>542520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278920" y="10476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343080</xdr:colOff>
      <xdr:row>0</xdr:row>
      <xdr:rowOff>104760</xdr:rowOff>
    </xdr:from>
    <xdr:to>
      <xdr:col>16</xdr:col>
      <xdr:colOff>780840</xdr:colOff>
      <xdr:row>0</xdr:row>
      <xdr:rowOff>542520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501960" y="10476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1247760</xdr:colOff>
      <xdr:row>0</xdr:row>
      <xdr:rowOff>104760</xdr:rowOff>
    </xdr:from>
    <xdr:to>
      <xdr:col>9</xdr:col>
      <xdr:colOff>1685520</xdr:colOff>
      <xdr:row>0</xdr:row>
      <xdr:rowOff>542520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7080" y="10476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1914480</xdr:colOff>
      <xdr:row>0</xdr:row>
      <xdr:rowOff>104760</xdr:rowOff>
    </xdr:from>
    <xdr:to>
      <xdr:col>8</xdr:col>
      <xdr:colOff>2352240</xdr:colOff>
      <xdr:row>0</xdr:row>
      <xdr:rowOff>542520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936440" y="10476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5648400</xdr:colOff>
      <xdr:row>0</xdr:row>
      <xdr:rowOff>104760</xdr:rowOff>
    </xdr:from>
    <xdr:to>
      <xdr:col>2</xdr:col>
      <xdr:colOff>6086160</xdr:colOff>
      <xdr:row>0</xdr:row>
      <xdr:rowOff>542520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212160" y="10476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41414"/>
    <pageSetUpPr fitToPage="1"/>
  </sheetPr>
  <dimension ref="A1:C32"/>
  <sheetViews>
    <sheetView showGridLines="0" topLeftCell="A17" zoomScaleNormal="100" workbookViewId="0">
      <selection sqref="A1:C1"/>
    </sheetView>
  </sheetViews>
  <sheetFormatPr defaultColWidth="8.6640625" defaultRowHeight="14.25" x14ac:dyDescent="0.45"/>
  <cols>
    <col min="1" max="1" width="3" customWidth="1"/>
    <col min="2" max="2" width="26" customWidth="1"/>
    <col min="3" max="3" width="74" customWidth="1"/>
  </cols>
  <sheetData>
    <row r="1" spans="1:3" ht="51.75" customHeight="1" x14ac:dyDescent="0.45">
      <c r="A1" s="14" t="s">
        <v>0</v>
      </c>
      <c r="B1" s="14"/>
      <c r="C1" s="14"/>
    </row>
    <row r="3" spans="1:3" ht="21.75" customHeight="1" x14ac:dyDescent="0.45">
      <c r="B3" s="13" t="s">
        <v>1</v>
      </c>
      <c r="C3" s="13"/>
    </row>
    <row r="4" spans="1:3" ht="18" customHeight="1" x14ac:dyDescent="0.45">
      <c r="B4" s="12" t="s">
        <v>2</v>
      </c>
      <c r="C4" s="12"/>
    </row>
    <row r="6" spans="1:3" ht="19.5" customHeight="1" x14ac:dyDescent="0.45">
      <c r="B6" s="11" t="s">
        <v>3</v>
      </c>
      <c r="C6" s="11"/>
    </row>
    <row r="7" spans="1:3" ht="19.5" customHeight="1" x14ac:dyDescent="0.45">
      <c r="B7" s="15" t="s">
        <v>4</v>
      </c>
      <c r="C7" s="16" t="s">
        <v>5</v>
      </c>
    </row>
    <row r="8" spans="1:3" ht="19.5" customHeight="1" x14ac:dyDescent="0.45">
      <c r="B8" s="17" t="s">
        <v>6</v>
      </c>
      <c r="C8" s="16" t="s">
        <v>7</v>
      </c>
    </row>
    <row r="10" spans="1:3" ht="19.5" customHeight="1" x14ac:dyDescent="0.45">
      <c r="B10" s="11" t="s">
        <v>8</v>
      </c>
      <c r="C10" s="11"/>
    </row>
    <row r="11" spans="1:3" ht="31.5" customHeight="1" x14ac:dyDescent="0.45">
      <c r="B11" s="18" t="s">
        <v>9</v>
      </c>
      <c r="C11" s="16" t="s">
        <v>10</v>
      </c>
    </row>
    <row r="12" spans="1:3" ht="31.5" customHeight="1" x14ac:dyDescent="0.45">
      <c r="B12" s="18" t="s">
        <v>11</v>
      </c>
      <c r="C12" s="16" t="s">
        <v>12</v>
      </c>
    </row>
    <row r="13" spans="1:3" ht="31.5" customHeight="1" x14ac:dyDescent="0.45">
      <c r="B13" s="18" t="s">
        <v>13</v>
      </c>
      <c r="C13" s="16" t="s">
        <v>14</v>
      </c>
    </row>
    <row r="14" spans="1:3" ht="31.5" customHeight="1" x14ac:dyDescent="0.45">
      <c r="B14" s="18" t="s">
        <v>15</v>
      </c>
      <c r="C14" s="16" t="s">
        <v>16</v>
      </c>
    </row>
    <row r="15" spans="1:3" ht="31.5" customHeight="1" x14ac:dyDescent="0.45">
      <c r="B15" s="18" t="s">
        <v>17</v>
      </c>
      <c r="C15" s="16" t="s">
        <v>18</v>
      </c>
    </row>
    <row r="17" spans="2:3" ht="19.5" customHeight="1" x14ac:dyDescent="0.45">
      <c r="B17" s="11" t="s">
        <v>19</v>
      </c>
      <c r="C17" s="11"/>
    </row>
    <row r="18" spans="2:3" ht="18" customHeight="1" x14ac:dyDescent="0.45">
      <c r="B18" s="19" t="s">
        <v>20</v>
      </c>
      <c r="C18" s="20" t="s">
        <v>21</v>
      </c>
    </row>
    <row r="19" spans="2:3" ht="18" customHeight="1" x14ac:dyDescent="0.45">
      <c r="B19" s="21" t="s">
        <v>22</v>
      </c>
      <c r="C19" s="22" t="s">
        <v>23</v>
      </c>
    </row>
    <row r="20" spans="2:3" ht="18" customHeight="1" x14ac:dyDescent="0.45">
      <c r="B20" s="23" t="s">
        <v>24</v>
      </c>
      <c r="C20" s="24" t="s">
        <v>25</v>
      </c>
    </row>
    <row r="21" spans="2:3" ht="18" customHeight="1" x14ac:dyDescent="0.45">
      <c r="B21" s="25" t="s">
        <v>26</v>
      </c>
      <c r="C21" s="26" t="s">
        <v>27</v>
      </c>
    </row>
    <row r="22" spans="2:3" ht="18" customHeight="1" x14ac:dyDescent="0.45">
      <c r="B22" s="27" t="s">
        <v>28</v>
      </c>
      <c r="C22" s="28" t="s">
        <v>29</v>
      </c>
    </row>
    <row r="24" spans="2:3" ht="19.5" customHeight="1" x14ac:dyDescent="0.45">
      <c r="B24" s="11" t="s">
        <v>30</v>
      </c>
      <c r="C24" s="11"/>
    </row>
    <row r="25" spans="2:3" ht="18" customHeight="1" x14ac:dyDescent="0.45">
      <c r="B25" s="29" t="s">
        <v>31</v>
      </c>
      <c r="C25" s="30" t="s">
        <v>32</v>
      </c>
    </row>
    <row r="26" spans="2:3" ht="18" customHeight="1" x14ac:dyDescent="0.45">
      <c r="B26" s="31" t="s">
        <v>33</v>
      </c>
      <c r="C26" s="32" t="s">
        <v>34</v>
      </c>
    </row>
    <row r="27" spans="2:3" ht="18" customHeight="1" x14ac:dyDescent="0.45">
      <c r="B27" s="21" t="s">
        <v>35</v>
      </c>
      <c r="C27" s="22" t="s">
        <v>36</v>
      </c>
    </row>
    <row r="28" spans="2:3" ht="18" customHeight="1" x14ac:dyDescent="0.45">
      <c r="B28" s="33" t="s">
        <v>37</v>
      </c>
      <c r="C28" s="34" t="s">
        <v>38</v>
      </c>
    </row>
    <row r="30" spans="2:3" ht="15" customHeight="1" x14ac:dyDescent="0.45">
      <c r="B30" s="12" t="s">
        <v>39</v>
      </c>
      <c r="C30" s="12"/>
    </row>
    <row r="32" spans="2:3" ht="15" customHeight="1" x14ac:dyDescent="0.45">
      <c r="B32" s="10" t="s">
        <v>40</v>
      </c>
      <c r="C32" s="10"/>
    </row>
  </sheetData>
  <mergeCells count="9">
    <mergeCell ref="B17:C17"/>
    <mergeCell ref="B24:C24"/>
    <mergeCell ref="B30:C30"/>
    <mergeCell ref="B32:C32"/>
    <mergeCell ref="A1:C1"/>
    <mergeCell ref="B3:C3"/>
    <mergeCell ref="B4:C4"/>
    <mergeCell ref="B6:C6"/>
    <mergeCell ref="B10:C10"/>
  </mergeCells>
  <pageMargins left="0.75" right="0.75" top="1" bottom="1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97316"/>
    <pageSetUpPr fitToPage="1"/>
  </sheetPr>
  <dimension ref="A1:E20"/>
  <sheetViews>
    <sheetView zoomScaleNormal="100" workbookViewId="0">
      <pane ySplit="5" topLeftCell="A6" activePane="bottomLeft" state="frozen"/>
      <selection pane="bottomLeft" sqref="A1:E1"/>
    </sheetView>
  </sheetViews>
  <sheetFormatPr defaultColWidth="8.6640625" defaultRowHeight="14.25" x14ac:dyDescent="0.45"/>
  <cols>
    <col min="1" max="1" width="5" customWidth="1"/>
    <col min="2" max="2" width="28" customWidth="1"/>
    <col min="3" max="3" width="18" customWidth="1"/>
    <col min="4" max="4" width="62" customWidth="1"/>
    <col min="5" max="5" width="12" customWidth="1"/>
  </cols>
  <sheetData>
    <row r="1" spans="1:5" ht="51.75" customHeight="1" x14ac:dyDescent="0.45">
      <c r="A1" s="14" t="s">
        <v>41</v>
      </c>
      <c r="B1" s="14"/>
      <c r="C1" s="14"/>
      <c r="D1" s="14"/>
      <c r="E1" s="14"/>
    </row>
    <row r="2" spans="1:5" x14ac:dyDescent="0.45">
      <c r="A2" s="36" t="s">
        <v>42</v>
      </c>
      <c r="E2" s="37" t="s">
        <v>43</v>
      </c>
    </row>
    <row r="3" spans="1:5" x14ac:dyDescent="0.45">
      <c r="A3" s="36" t="s">
        <v>44</v>
      </c>
    </row>
    <row r="5" spans="1:5" ht="30" customHeight="1" x14ac:dyDescent="0.45">
      <c r="A5" s="38" t="s">
        <v>45</v>
      </c>
      <c r="B5" s="39" t="s">
        <v>46</v>
      </c>
      <c r="C5" s="39" t="s">
        <v>47</v>
      </c>
      <c r="D5" s="39" t="s">
        <v>48</v>
      </c>
      <c r="E5" s="38" t="s">
        <v>49</v>
      </c>
    </row>
    <row r="6" spans="1:5" ht="30" customHeight="1" x14ac:dyDescent="0.45">
      <c r="A6" s="40">
        <v>1</v>
      </c>
      <c r="B6" s="41" t="s">
        <v>50</v>
      </c>
      <c r="C6" s="41" t="s">
        <v>51</v>
      </c>
      <c r="D6" s="41" t="s">
        <v>52</v>
      </c>
      <c r="E6" s="42">
        <v>2</v>
      </c>
    </row>
    <row r="7" spans="1:5" ht="30" customHeight="1" x14ac:dyDescent="0.45">
      <c r="A7" s="40">
        <v>2</v>
      </c>
      <c r="B7" s="41" t="s">
        <v>53</v>
      </c>
      <c r="C7" s="41" t="s">
        <v>54</v>
      </c>
      <c r="D7" s="41" t="s">
        <v>55</v>
      </c>
      <c r="E7" s="42">
        <v>2</v>
      </c>
    </row>
    <row r="8" spans="1:5" ht="30" customHeight="1" x14ac:dyDescent="0.45">
      <c r="A8" s="40">
        <v>3</v>
      </c>
      <c r="B8" s="41" t="s">
        <v>56</v>
      </c>
      <c r="C8" s="41" t="s">
        <v>57</v>
      </c>
      <c r="D8" s="41" t="s">
        <v>58</v>
      </c>
      <c r="E8" s="42">
        <v>2</v>
      </c>
    </row>
    <row r="9" spans="1:5" ht="30" customHeight="1" x14ac:dyDescent="0.45">
      <c r="A9" s="40">
        <v>4</v>
      </c>
      <c r="B9" s="41" t="s">
        <v>59</v>
      </c>
      <c r="C9" s="41" t="s">
        <v>60</v>
      </c>
      <c r="D9" s="41" t="s">
        <v>61</v>
      </c>
      <c r="E9" s="42">
        <v>3</v>
      </c>
    </row>
    <row r="10" spans="1:5" ht="30" customHeight="1" x14ac:dyDescent="0.45">
      <c r="A10" s="40">
        <v>5</v>
      </c>
      <c r="B10" s="41" t="s">
        <v>62</v>
      </c>
      <c r="C10" s="41" t="s">
        <v>63</v>
      </c>
      <c r="D10" s="41" t="s">
        <v>64</v>
      </c>
      <c r="E10" s="42">
        <v>2</v>
      </c>
    </row>
    <row r="11" spans="1:5" ht="30" customHeight="1" x14ac:dyDescent="0.45">
      <c r="A11" s="40">
        <v>6</v>
      </c>
      <c r="B11" s="41" t="s">
        <v>65</v>
      </c>
      <c r="C11" s="41" t="s">
        <v>66</v>
      </c>
      <c r="D11" s="41" t="s">
        <v>67</v>
      </c>
      <c r="E11" s="42">
        <v>2</v>
      </c>
    </row>
    <row r="12" spans="1:5" ht="30" customHeight="1" x14ac:dyDescent="0.45">
      <c r="A12" s="40">
        <v>7</v>
      </c>
      <c r="B12" s="41"/>
      <c r="C12" s="41"/>
      <c r="D12" s="41"/>
      <c r="E12" s="42"/>
    </row>
    <row r="13" spans="1:5" ht="30" customHeight="1" x14ac:dyDescent="0.45">
      <c r="A13" s="40">
        <v>8</v>
      </c>
      <c r="B13" s="41"/>
      <c r="C13" s="41"/>
      <c r="D13" s="41"/>
      <c r="E13" s="42"/>
    </row>
    <row r="14" spans="1:5" ht="30" customHeight="1" x14ac:dyDescent="0.45">
      <c r="A14" s="40">
        <v>9</v>
      </c>
      <c r="B14" s="41"/>
      <c r="C14" s="41"/>
      <c r="D14" s="41"/>
      <c r="E14" s="42"/>
    </row>
    <row r="15" spans="1:5" ht="30" customHeight="1" x14ac:dyDescent="0.45">
      <c r="A15" s="40">
        <v>10</v>
      </c>
      <c r="B15" s="41"/>
      <c r="C15" s="41"/>
      <c r="D15" s="41"/>
      <c r="E15" s="42"/>
    </row>
    <row r="16" spans="1:5" ht="30" customHeight="1" x14ac:dyDescent="0.45">
      <c r="A16" s="40">
        <v>11</v>
      </c>
      <c r="B16" s="41"/>
      <c r="C16" s="41"/>
      <c r="D16" s="41"/>
      <c r="E16" s="42"/>
    </row>
    <row r="17" spans="1:5" ht="30" customHeight="1" x14ac:dyDescent="0.45">
      <c r="A17" s="40">
        <v>12</v>
      </c>
      <c r="B17" s="41"/>
      <c r="C17" s="41"/>
      <c r="D17" s="41"/>
      <c r="E17" s="42"/>
    </row>
    <row r="18" spans="1:5" ht="30" customHeight="1" x14ac:dyDescent="0.45">
      <c r="A18" s="40">
        <v>13</v>
      </c>
      <c r="B18" s="41"/>
      <c r="C18" s="41"/>
      <c r="D18" s="41"/>
      <c r="E18" s="42"/>
    </row>
    <row r="19" spans="1:5" ht="30" customHeight="1" x14ac:dyDescent="0.45">
      <c r="A19" s="40">
        <v>14</v>
      </c>
      <c r="B19" s="41"/>
      <c r="C19" s="41"/>
      <c r="D19" s="41"/>
      <c r="E19" s="42"/>
    </row>
    <row r="20" spans="1:5" ht="30" customHeight="1" x14ac:dyDescent="0.45">
      <c r="A20" s="40">
        <v>15</v>
      </c>
      <c r="B20" s="41"/>
      <c r="C20" s="41"/>
      <c r="D20" s="41"/>
      <c r="E20" s="42"/>
    </row>
  </sheetData>
  <mergeCells count="1">
    <mergeCell ref="A1:E1"/>
  </mergeCells>
  <dataValidations count="1">
    <dataValidation type="whole" allowBlank="1" showInputMessage="1" showErrorMessage="1" error="Target = how many people you need at level 3 or 4 (0–30)." promptTitle="Target" prompt="How many qualified people (level 3–4) you need for every shift, plus vacations and call-ins." sqref="E6:E20" xr:uid="{00000000-0002-0000-0100-000000000000}">
      <formula1>0</formula1>
      <formula2>30</formula2>
    </dataValidation>
  </dataValidations>
  <pageMargins left="0.75" right="0.75" top="1" bottom="1" header="0.511811023622047" footer="0.511811023622047"/>
  <pageSetup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2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Q1"/>
    </sheetView>
  </sheetViews>
  <sheetFormatPr defaultColWidth="8.6640625" defaultRowHeight="14.25" x14ac:dyDescent="0.45"/>
  <cols>
    <col min="1" max="1" width="24" customWidth="1"/>
    <col min="2" max="2" width="16" customWidth="1"/>
    <col min="3" max="17" width="12.46484375" customWidth="1"/>
  </cols>
  <sheetData>
    <row r="1" spans="1:17" ht="51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45">
      <c r="A2" s="43" t="s">
        <v>68</v>
      </c>
      <c r="B2" s="9" t="s">
        <v>69</v>
      </c>
      <c r="C2" s="9"/>
      <c r="E2" s="43" t="s">
        <v>70</v>
      </c>
      <c r="F2" s="8"/>
      <c r="G2" s="8"/>
      <c r="I2" s="37" t="s">
        <v>43</v>
      </c>
      <c r="J2" s="45" t="s">
        <v>71</v>
      </c>
      <c r="K2" s="36" t="s">
        <v>72</v>
      </c>
    </row>
    <row r="3" spans="1:17" ht="27.75" customHeight="1" x14ac:dyDescent="0.45">
      <c r="A3" s="43" t="s">
        <v>73</v>
      </c>
      <c r="B3" s="46" t="s">
        <v>74</v>
      </c>
      <c r="C3" s="47" t="s">
        <v>75</v>
      </c>
      <c r="D3" s="48" t="s">
        <v>76</v>
      </c>
      <c r="E3" s="49" t="s">
        <v>77</v>
      </c>
      <c r="F3" s="50" t="s">
        <v>78</v>
      </c>
      <c r="H3" s="36" t="s">
        <v>79</v>
      </c>
    </row>
    <row r="5" spans="1:17" x14ac:dyDescent="0.45">
      <c r="A5" s="7" t="s">
        <v>80</v>
      </c>
      <c r="B5" s="7"/>
      <c r="C5" s="51" t="str">
        <f>IF(C$9="","",Coverage!$Q$9&amp;" of "&amp;Coverage!$P$9)</f>
        <v>2 of 2</v>
      </c>
      <c r="D5" s="51" t="str">
        <f>IF(D$9="","",Coverage!$Q$10&amp;" of "&amp;Coverage!$P$10)</f>
        <v>3 of 2</v>
      </c>
      <c r="E5" s="51" t="str">
        <f>IF(E$9="","",Coverage!$Q$11&amp;" of "&amp;Coverage!$P$11)</f>
        <v>2 of 2</v>
      </c>
      <c r="F5" s="51" t="str">
        <f>IF(F$9="","",Coverage!$Q$12&amp;" of "&amp;Coverage!$P$12)</f>
        <v>2 of 3</v>
      </c>
      <c r="G5" s="51" t="str">
        <f>IF(G$9="","",Coverage!$Q$13&amp;" of "&amp;Coverage!$P$13)</f>
        <v>1 of 2</v>
      </c>
      <c r="H5" s="51" t="str">
        <f>IF(H$9="","",Coverage!$Q$14&amp;" of "&amp;Coverage!$P$14)</f>
        <v>0 of 2</v>
      </c>
      <c r="I5" s="51" t="str">
        <f>IF(I$9="","",Coverage!$Q$15&amp;" of "&amp;Coverage!$P$15)</f>
        <v/>
      </c>
      <c r="J5" s="51" t="str">
        <f>IF(J$9="","",Coverage!$Q$16&amp;" of "&amp;Coverage!$P$16)</f>
        <v/>
      </c>
      <c r="K5" s="51" t="str">
        <f>IF(K$9="","",Coverage!$Q$17&amp;" of "&amp;Coverage!$P$17)</f>
        <v/>
      </c>
      <c r="L5" s="51" t="str">
        <f>IF(L$9="","",Coverage!$Q$18&amp;" of "&amp;Coverage!$P$18)</f>
        <v/>
      </c>
      <c r="M5" s="51" t="str">
        <f>IF(M$9="","",Coverage!$Q$19&amp;" of "&amp;Coverage!$P$19)</f>
        <v/>
      </c>
      <c r="N5" s="51" t="str">
        <f>IF(N$9="","",Coverage!$Q$20&amp;" of "&amp;Coverage!$P$20)</f>
        <v/>
      </c>
      <c r="O5" s="51" t="str">
        <f>IF(O$9="","",Coverage!$Q$21&amp;" of "&amp;Coverage!$P$21)</f>
        <v/>
      </c>
      <c r="P5" s="51" t="str">
        <f>IF(P$9="","",Coverage!$Q$22&amp;" of "&amp;Coverage!$P$22)</f>
        <v/>
      </c>
      <c r="Q5" s="51" t="str">
        <f>IF(Q$9="","",Coverage!$Q$23&amp;" of "&amp;Coverage!$P$23)</f>
        <v/>
      </c>
    </row>
    <row r="6" spans="1:17" ht="30" customHeight="1" x14ac:dyDescent="0.45">
      <c r="A6" s="6" t="s">
        <v>81</v>
      </c>
      <c r="B6" s="6"/>
      <c r="C6" s="45" t="str">
        <f>IF(C$9="","",Coverage!$U$9)</f>
        <v>Covered</v>
      </c>
      <c r="D6" s="45" t="str">
        <f>IF(D$9="","",Coverage!$U$10)</f>
        <v>Covered</v>
      </c>
      <c r="E6" s="45" t="str">
        <f>IF(E$9="","",Coverage!$U$11)</f>
        <v>Covered</v>
      </c>
      <c r="F6" s="45" t="str">
        <f>IF(F$9="","",Coverage!$U$12)</f>
        <v>Below target</v>
      </c>
      <c r="G6" s="45" t="str">
        <f>IF(G$9="","",Coverage!$U$13)</f>
        <v>Single point of failure</v>
      </c>
      <c r="H6" s="45" t="str">
        <f>IF(H$9="","",Coverage!$U$14)</f>
        <v>No coverage</v>
      </c>
      <c r="I6" s="45" t="str">
        <f>IF(I$9="","",Coverage!$U$15)</f>
        <v/>
      </c>
      <c r="J6" s="45" t="str">
        <f>IF(J$9="","",Coverage!$U$16)</f>
        <v/>
      </c>
      <c r="K6" s="45" t="str">
        <f>IF(K$9="","",Coverage!$U$17)</f>
        <v/>
      </c>
      <c r="L6" s="45" t="str">
        <f>IF(L$9="","",Coverage!$U$18)</f>
        <v/>
      </c>
      <c r="M6" s="45" t="str">
        <f>IF(M$9="","",Coverage!$U$19)</f>
        <v/>
      </c>
      <c r="N6" s="45" t="str">
        <f>IF(N$9="","",Coverage!$U$20)</f>
        <v/>
      </c>
      <c r="O6" s="45" t="str">
        <f>IF(O$9="","",Coverage!$U$21)</f>
        <v/>
      </c>
      <c r="P6" s="45" t="str">
        <f>IF(P$9="","",Coverage!$U$22)</f>
        <v/>
      </c>
      <c r="Q6" s="45" t="str">
        <f>IF(Q$9="","",Coverage!$U$23)</f>
        <v/>
      </c>
    </row>
    <row r="7" spans="1:17" x14ac:dyDescent="0.45">
      <c r="A7" s="52" t="s">
        <v>82</v>
      </c>
    </row>
    <row r="9" spans="1:17" ht="43.5" customHeight="1" x14ac:dyDescent="0.45">
      <c r="A9" s="39" t="s">
        <v>83</v>
      </c>
      <c r="B9" s="39" t="s">
        <v>84</v>
      </c>
      <c r="C9" s="38" t="str">
        <f>IF(Skills!$B$6="","",Skills!$B$6)</f>
        <v>Press Brake Setup</v>
      </c>
      <c r="D9" s="38" t="str">
        <f>IF(Skills!$B$7="","",Skills!$B$7)</f>
        <v>Laser Operation</v>
      </c>
      <c r="E9" s="38" t="str">
        <f>IF(Skills!$B$8="","",Skills!$B$8)</f>
        <v>Robot Weld Program Select</v>
      </c>
      <c r="F9" s="38" t="str">
        <f>IF(Skills!$B$9="","",Skills!$B$9)</f>
        <v>Forklift</v>
      </c>
      <c r="G9" s="38" t="str">
        <f>IF(Skills!$B$10="","",Skills!$B$10)</f>
        <v>First-Article Inspection</v>
      </c>
      <c r="H9" s="38" t="str">
        <f>IF(Skills!$B$11="","",Skills!$B$11)</f>
        <v>Changeover</v>
      </c>
      <c r="I9" s="38" t="str">
        <f>IF(Skills!$B$12="","",Skills!$B$12)</f>
        <v/>
      </c>
      <c r="J9" s="38" t="str">
        <f>IF(Skills!$B$13="","",Skills!$B$13)</f>
        <v/>
      </c>
      <c r="K9" s="38" t="str">
        <f>IF(Skills!$B$14="","",Skills!$B$14)</f>
        <v/>
      </c>
      <c r="L9" s="38" t="str">
        <f>IF(Skills!$B$15="","",Skills!$B$15)</f>
        <v/>
      </c>
      <c r="M9" s="38" t="str">
        <f>IF(Skills!$B$16="","",Skills!$B$16)</f>
        <v/>
      </c>
      <c r="N9" s="38" t="str">
        <f>IF(Skills!$B$17="","",Skills!$B$17)</f>
        <v/>
      </c>
      <c r="O9" s="38" t="str">
        <f>IF(Skills!$B$18="","",Skills!$B$18)</f>
        <v/>
      </c>
      <c r="P9" s="38" t="str">
        <f>IF(Skills!$B$19="","",Skills!$B$19)</f>
        <v/>
      </c>
      <c r="Q9" s="38" t="str">
        <f>IF(Skills!$B$20="","",Skills!$B$20)</f>
        <v/>
      </c>
    </row>
    <row r="10" spans="1:17" x14ac:dyDescent="0.45">
      <c r="A10" s="44" t="s">
        <v>85</v>
      </c>
      <c r="B10" s="44" t="s">
        <v>86</v>
      </c>
      <c r="C10" s="53">
        <v>4</v>
      </c>
      <c r="D10" s="53">
        <v>3</v>
      </c>
      <c r="E10" s="53">
        <v>0</v>
      </c>
      <c r="F10" s="53">
        <v>3</v>
      </c>
      <c r="G10" s="53">
        <v>2</v>
      </c>
      <c r="H10" s="53">
        <v>2</v>
      </c>
      <c r="I10" s="53"/>
      <c r="J10" s="53"/>
      <c r="K10" s="53"/>
      <c r="L10" s="53"/>
      <c r="M10" s="53"/>
      <c r="N10" s="53"/>
      <c r="O10" s="53"/>
      <c r="P10" s="53"/>
      <c r="Q10" s="53"/>
    </row>
    <row r="11" spans="1:17" x14ac:dyDescent="0.45">
      <c r="A11" s="44" t="s">
        <v>87</v>
      </c>
      <c r="B11" s="44" t="s">
        <v>88</v>
      </c>
      <c r="C11" s="53">
        <v>3</v>
      </c>
      <c r="D11" s="53">
        <v>1</v>
      </c>
      <c r="E11" s="53">
        <v>0</v>
      </c>
      <c r="F11" s="53">
        <v>3</v>
      </c>
      <c r="G11" s="53">
        <v>1</v>
      </c>
      <c r="H11" s="53">
        <v>2</v>
      </c>
      <c r="I11" s="53"/>
      <c r="J11" s="53"/>
      <c r="K11" s="53"/>
      <c r="L11" s="53"/>
      <c r="M11" s="53"/>
      <c r="N11" s="53"/>
      <c r="O11" s="53"/>
      <c r="P11" s="53"/>
      <c r="Q11" s="53"/>
    </row>
    <row r="12" spans="1:17" x14ac:dyDescent="0.45">
      <c r="A12" s="44" t="s">
        <v>89</v>
      </c>
      <c r="B12" s="44" t="s">
        <v>88</v>
      </c>
      <c r="C12" s="53">
        <v>2</v>
      </c>
      <c r="D12" s="53">
        <v>4</v>
      </c>
      <c r="E12" s="53">
        <v>1</v>
      </c>
      <c r="F12" s="53">
        <v>0</v>
      </c>
      <c r="G12" s="53">
        <v>3</v>
      </c>
      <c r="H12" s="53">
        <v>1</v>
      </c>
      <c r="I12" s="53"/>
      <c r="J12" s="53"/>
      <c r="K12" s="53"/>
      <c r="L12" s="53"/>
      <c r="M12" s="53"/>
      <c r="N12" s="53"/>
      <c r="O12" s="53"/>
      <c r="P12" s="53"/>
      <c r="Q12" s="53"/>
    </row>
    <row r="13" spans="1:17" x14ac:dyDescent="0.45">
      <c r="A13" s="44" t="s">
        <v>90</v>
      </c>
      <c r="B13" s="44" t="s">
        <v>91</v>
      </c>
      <c r="C13" s="53">
        <v>1</v>
      </c>
      <c r="D13" s="53">
        <v>2</v>
      </c>
      <c r="E13" s="53">
        <v>3</v>
      </c>
      <c r="F13" s="53">
        <v>0</v>
      </c>
      <c r="G13" s="53">
        <v>0</v>
      </c>
      <c r="H13" s="53">
        <v>0</v>
      </c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45">
      <c r="A14" s="44" t="s">
        <v>92</v>
      </c>
      <c r="B14" s="44" t="s">
        <v>91</v>
      </c>
      <c r="C14" s="53">
        <v>0</v>
      </c>
      <c r="D14" s="53">
        <v>3</v>
      </c>
      <c r="E14" s="53">
        <v>3</v>
      </c>
      <c r="F14" s="53">
        <v>0</v>
      </c>
      <c r="G14" s="53">
        <v>1</v>
      </c>
      <c r="H14" s="53">
        <v>0</v>
      </c>
      <c r="I14" s="53"/>
      <c r="J14" s="53"/>
      <c r="K14" s="53"/>
      <c r="L14" s="53"/>
      <c r="M14" s="53"/>
      <c r="N14" s="53"/>
      <c r="O14" s="53"/>
      <c r="P14" s="53"/>
      <c r="Q14" s="53"/>
    </row>
    <row r="15" spans="1:17" x14ac:dyDescent="0.45">
      <c r="A15" s="44" t="s">
        <v>93</v>
      </c>
      <c r="B15" s="44" t="s">
        <v>94</v>
      </c>
      <c r="C15" s="53">
        <v>2</v>
      </c>
      <c r="D15" s="53">
        <v>0</v>
      </c>
      <c r="E15" s="53">
        <v>0</v>
      </c>
      <c r="F15" s="53">
        <v>0</v>
      </c>
      <c r="G15" s="53">
        <v>0</v>
      </c>
      <c r="H15" s="53">
        <v>1</v>
      </c>
      <c r="I15" s="53"/>
      <c r="J15" s="53"/>
      <c r="K15" s="53"/>
      <c r="L15" s="53"/>
      <c r="M15" s="53"/>
      <c r="N15" s="53"/>
      <c r="O15" s="53"/>
      <c r="P15" s="53"/>
      <c r="Q15" s="53"/>
    </row>
    <row r="16" spans="1:17" x14ac:dyDescent="0.45">
      <c r="A16" s="44"/>
      <c r="B16" s="44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17" spans="1:17" x14ac:dyDescent="0.45">
      <c r="A17" s="44"/>
      <c r="B17" s="44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45">
      <c r="A18" s="44"/>
      <c r="B18" s="44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x14ac:dyDescent="0.45">
      <c r="A19" s="44"/>
      <c r="B19" s="4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spans="1:17" x14ac:dyDescent="0.45">
      <c r="A20" s="44"/>
      <c r="B20" s="4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x14ac:dyDescent="0.45">
      <c r="A21" s="44"/>
      <c r="B21" s="44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spans="1:17" x14ac:dyDescent="0.45">
      <c r="A22" s="44"/>
      <c r="B22" s="44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spans="1:17" x14ac:dyDescent="0.45">
      <c r="A23" s="44"/>
      <c r="B23" s="44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x14ac:dyDescent="0.45">
      <c r="A24" s="44"/>
      <c r="B24" s="44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7" x14ac:dyDescent="0.45">
      <c r="A25" s="44"/>
      <c r="B25" s="44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1:17" x14ac:dyDescent="0.45">
      <c r="A26" s="44"/>
      <c r="B26" s="44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spans="1:17" x14ac:dyDescent="0.45">
      <c r="A27" s="44"/>
      <c r="B27" s="44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spans="1:17" x14ac:dyDescent="0.45">
      <c r="A28" s="44"/>
      <c r="B28" s="44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1:17" x14ac:dyDescent="0.45">
      <c r="A29" s="44"/>
      <c r="B29" s="44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x14ac:dyDescent="0.45">
      <c r="A30" s="44"/>
      <c r="B30" s="4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spans="1:17" x14ac:dyDescent="0.45">
      <c r="A31" s="44"/>
      <c r="B31" s="44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7" x14ac:dyDescent="0.45">
      <c r="A32" s="44"/>
      <c r="B32" s="44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spans="1:17" x14ac:dyDescent="0.45">
      <c r="A33" s="44"/>
      <c r="B33" s="44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1:17" x14ac:dyDescent="0.45">
      <c r="A34" s="44"/>
      <c r="B34" s="44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spans="1:17" x14ac:dyDescent="0.45">
      <c r="A35" s="44"/>
      <c r="B35" s="44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</row>
    <row r="36" spans="1:17" x14ac:dyDescent="0.45">
      <c r="A36" s="44"/>
      <c r="B36" s="44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x14ac:dyDescent="0.45">
      <c r="A37" s="44"/>
      <c r="B37" s="44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</row>
    <row r="38" spans="1:17" x14ac:dyDescent="0.45">
      <c r="A38" s="44"/>
      <c r="B38" s="44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</row>
    <row r="39" spans="1:17" x14ac:dyDescent="0.45">
      <c r="A39" s="44"/>
      <c r="B39" s="44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</row>
    <row r="41" spans="1:17" x14ac:dyDescent="0.45">
      <c r="A41" s="36" t="s">
        <v>95</v>
      </c>
    </row>
    <row r="42" spans="1:17" x14ac:dyDescent="0.45">
      <c r="A42" s="54" t="s">
        <v>40</v>
      </c>
    </row>
  </sheetData>
  <sheetProtection sheet="1" formatCells="0" formatColumns="0" formatRows="0" sort="0" autoFilter="0"/>
  <mergeCells count="5">
    <mergeCell ref="A1:Q1"/>
    <mergeCell ref="B2:C2"/>
    <mergeCell ref="F2:G2"/>
    <mergeCell ref="A5:B5"/>
    <mergeCell ref="A6:B6"/>
  </mergeCells>
  <conditionalFormatting sqref="C6:Q6">
    <cfRule type="expression" dxfId="12" priority="2">
      <formula>C$6="Covered"</formula>
    </cfRule>
    <cfRule type="expression" dxfId="11" priority="3">
      <formula>C$6="Below target"</formula>
    </cfRule>
    <cfRule type="expression" dxfId="10" priority="4">
      <formula>C$6="Single point of failure"</formula>
    </cfRule>
    <cfRule type="expression" dxfId="9" priority="5">
      <formula>C$6="No coverage"</formula>
    </cfRule>
  </conditionalFormatting>
  <conditionalFormatting sqref="C10:Q39">
    <cfRule type="expression" dxfId="8" priority="6">
      <formula>AND(C10&lt;&gt;"",C10=0)</formula>
    </cfRule>
    <cfRule type="expression" dxfId="7" priority="7">
      <formula>AND(C10&lt;&gt;"",C10=1)</formula>
    </cfRule>
    <cfRule type="expression" dxfId="6" priority="8">
      <formula>AND(C10&lt;&gt;"",C10=2)</formula>
    </cfRule>
    <cfRule type="expression" dxfId="5" priority="9">
      <formula>AND(C10&lt;&gt;"",C10=3)</formula>
    </cfRule>
    <cfRule type="expression" dxfId="4" priority="10">
      <formula>AND(C10&lt;&gt;"",C10=4)</formula>
    </cfRule>
  </conditionalFormatting>
  <dataValidations count="1">
    <dataValidation type="list" allowBlank="1" showInputMessage="1" showErrorMessage="1" errorTitle="Level 0–4" error="Pick a level from 0 to 4. See the Start Here tab." promptTitle="Skill level" prompt="0 Not trained · 1 Learning · 2 With help · 3 Alone · 4 Can train" sqref="C10:Q39" xr:uid="{00000000-0002-0000-0200-000000000000}">
      <formula1>"0,1,2,3,4"</formula1>
      <formula2>0</formula2>
    </dataValidation>
  </dataValidations>
  <pageMargins left="0.75" right="0.75" top="1" bottom="1" header="0.511811023622047" footer="0.511811023622047"/>
  <pageSetup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6"/>
  <sheetViews>
    <sheetView zoomScaleNormal="100" workbookViewId="0">
      <pane ySplit="8" topLeftCell="A9" activePane="bottomLeft" state="frozen"/>
      <selection pane="bottomLeft" sqref="A1:J1"/>
    </sheetView>
  </sheetViews>
  <sheetFormatPr defaultColWidth="8.6640625" defaultRowHeight="14.25" x14ac:dyDescent="0.45"/>
  <cols>
    <col min="1" max="1" width="6" customWidth="1"/>
    <col min="2" max="2" width="28" customWidth="1"/>
    <col min="3" max="3" width="18" customWidth="1"/>
    <col min="4" max="4" width="9" customWidth="1"/>
    <col min="5" max="6" width="10" customWidth="1"/>
    <col min="7" max="7" width="11" customWidth="1"/>
    <col min="8" max="8" width="8" customWidth="1"/>
    <col min="9" max="9" width="22" customWidth="1"/>
    <col min="10" max="10" width="26" customWidth="1"/>
    <col min="13" max="25" width="13" hidden="1" customWidth="1"/>
  </cols>
  <sheetData>
    <row r="1" spans="1:25" ht="51.75" customHeight="1" x14ac:dyDescent="0.45">
      <c r="A1" s="14" t="s">
        <v>96</v>
      </c>
      <c r="B1" s="14"/>
      <c r="C1" s="14"/>
      <c r="D1" s="14"/>
      <c r="E1" s="14"/>
      <c r="F1" s="14"/>
      <c r="G1" s="14"/>
      <c r="H1" s="14"/>
      <c r="I1" s="14"/>
      <c r="J1" s="14"/>
    </row>
    <row r="2" spans="1:25" x14ac:dyDescent="0.45">
      <c r="A2" s="52" t="s">
        <v>97</v>
      </c>
      <c r="J2" s="45" t="s">
        <v>71</v>
      </c>
    </row>
    <row r="4" spans="1:25" ht="18" customHeight="1" x14ac:dyDescent="0.45">
      <c r="A4" s="5" t="s">
        <v>98</v>
      </c>
      <c r="B4" s="5"/>
      <c r="C4" s="4" t="s">
        <v>99</v>
      </c>
      <c r="D4" s="4"/>
      <c r="E4" s="4"/>
      <c r="F4" s="3" t="s">
        <v>100</v>
      </c>
      <c r="G4" s="3"/>
      <c r="H4" s="3"/>
      <c r="I4" s="2" t="s">
        <v>101</v>
      </c>
      <c r="J4" s="2"/>
    </row>
    <row r="5" spans="1:25" ht="33.75" customHeight="1" x14ac:dyDescent="0.45">
      <c r="A5" s="1">
        <f>COUNTIF($U$9:$U$23,"No coverage")</f>
        <v>1</v>
      </c>
      <c r="B5" s="1"/>
      <c r="C5" s="66">
        <f>COUNTIF($U$9:$U$23,"Single point of failure")</f>
        <v>1</v>
      </c>
      <c r="D5" s="66"/>
      <c r="E5" s="66"/>
      <c r="F5" s="67">
        <f>COUNTIF($U$9:$U$23,"Below target")</f>
        <v>1</v>
      </c>
      <c r="G5" s="67"/>
      <c r="H5" s="67"/>
      <c r="I5" s="68">
        <f>COUNTIF($U$9:$U$23,"Covered")</f>
        <v>3</v>
      </c>
      <c r="J5" s="68"/>
    </row>
    <row r="6" spans="1:25" x14ac:dyDescent="0.45">
      <c r="A6" s="36" t="s">
        <v>102</v>
      </c>
    </row>
    <row r="8" spans="1:25" ht="30" customHeight="1" x14ac:dyDescent="0.45">
      <c r="A8" s="38" t="s">
        <v>45</v>
      </c>
      <c r="B8" s="39" t="s">
        <v>46</v>
      </c>
      <c r="C8" s="39" t="s">
        <v>47</v>
      </c>
      <c r="D8" s="38" t="s">
        <v>49</v>
      </c>
      <c r="E8" s="38" t="s">
        <v>103</v>
      </c>
      <c r="F8" s="38" t="s">
        <v>104</v>
      </c>
      <c r="G8" s="38" t="s">
        <v>105</v>
      </c>
      <c r="H8" s="38" t="s">
        <v>106</v>
      </c>
      <c r="I8" s="38" t="s">
        <v>81</v>
      </c>
      <c r="J8" s="38" t="s">
        <v>107</v>
      </c>
    </row>
    <row r="9" spans="1:25" ht="24" customHeight="1" x14ac:dyDescent="0.45">
      <c r="A9" s="55">
        <f>IF(INDEX($W$9:$W$23,$M9)=9,"",1)</f>
        <v>1</v>
      </c>
      <c r="B9" s="56" t="str">
        <f t="shared" ref="B9:B23" si="0">IF(INDEX($W$9:$W$23,$M9)=9,"",INDEX($N$9:$N$23,$M9))</f>
        <v>Changeover</v>
      </c>
      <c r="C9" s="56" t="str">
        <f t="shared" ref="C9:C23" si="1">IF(INDEX($W$9:$W$23,$M9)=9,"",INDEX($O$9:$O$23,$M9))</f>
        <v>Weld cells</v>
      </c>
      <c r="D9" s="51">
        <f t="shared" ref="D9:D23" si="2">IF(INDEX($W$9:$W$23,$M9)=9,"",INDEX($P$9:$P$23,$M9))</f>
        <v>2</v>
      </c>
      <c r="E9" s="51">
        <f t="shared" ref="E9:E23" si="3">IF(INDEX($W$9:$W$23,$M9)=9,"",INDEX($Q$9:$Q$23,$M9))</f>
        <v>0</v>
      </c>
      <c r="F9" s="51">
        <f t="shared" ref="F9:F23" si="4">IF(INDEX($W$9:$W$23,$M9)=9,"",INDEX($R$9:$R$23,$M9))</f>
        <v>0</v>
      </c>
      <c r="G9" s="51">
        <f t="shared" ref="G9:G23" si="5">IF(INDEX($W$9:$W$23,$M9)=9,"",INDEX($S$9:$S$23,$M9))</f>
        <v>4</v>
      </c>
      <c r="H9" s="51">
        <f t="shared" ref="H9:H23" si="6">IF(INDEX($W$9:$W$23,$M9)=9,"",INDEX($T$9:$T$23,$M9))</f>
        <v>2</v>
      </c>
      <c r="I9" s="45" t="str">
        <f t="shared" ref="I9:I23" si="7">IF(INDEX($W$9:$W$23,$M9)=9,"",INDEX($U$9:$U$23,$M9))</f>
        <v>No coverage</v>
      </c>
      <c r="J9" s="57" t="str">
        <f t="shared" ref="J9:J23" si="8">IF(INDEX($W$9:$W$23,$M9)=9,"",INDEX($V$9:$V$23,$M9))</f>
        <v>Qualify someone now</v>
      </c>
      <c r="M9">
        <f>MATCH(1,$Y$9:$Y$23,0)</f>
        <v>6</v>
      </c>
      <c r="N9" t="str">
        <f>IF(Skills!$B$6="","",Skills!$B$6)</f>
        <v>Press Brake Setup</v>
      </c>
      <c r="O9" t="str">
        <f>IF(OR(N9="",Skills!$C$6=""),"",Skills!$C$6)</f>
        <v>Press Brake 1–3</v>
      </c>
      <c r="P9">
        <f>IF(N9="","",IF(Skills!$E$6="",2,Skills!$E$6))</f>
        <v>2</v>
      </c>
      <c r="Q9">
        <f>IF(N9="","",COUNTIF(Matrix!$C$10:$C$39,"&gt;=3"))</f>
        <v>2</v>
      </c>
      <c r="R9">
        <f>IF(N9="","",COUNTIF(Matrix!$C$10:$C$39,4))</f>
        <v>1</v>
      </c>
      <c r="S9">
        <f>IF(N9="","",COUNTIF(Matrix!$C$10:$C$39,1)+COUNTIF(Matrix!$C$10:$C$39,2))</f>
        <v>3</v>
      </c>
      <c r="T9">
        <f t="shared" ref="T9:T23" si="9">IF(N9="","",MAX(0,P9-Q9))</f>
        <v>0</v>
      </c>
      <c r="U9" t="str">
        <f t="shared" ref="U9:U23" si="10">IF(N9="","",IF(Q9=0,"No coverage",IF(AND(Q9=1,P9&gt;1),"Single point of failure",IF(Q9&lt;P9,"Below target","Covered"))))</f>
        <v>Covered</v>
      </c>
      <c r="V9" t="str">
        <f t="shared" ref="V9:V23" si="11">IF(N9="","",IF(U9="No coverage","Qualify someone now",IF(U9="Single point of failure","Train a backup",IF(U9="Below target",IF(S9&gt;0,"Finish training in progress","Start training someone"),"Keep it current"))))</f>
        <v>Keep it current</v>
      </c>
      <c r="W9">
        <f t="shared" ref="W9:W23" si="12">IF(N9="",9,IF(U9="No coverage",1,IF(U9="Single point of failure",2,IF(U9="Below target",3,4))))</f>
        <v>4</v>
      </c>
      <c r="X9">
        <f>W9*100+1</f>
        <v>401</v>
      </c>
      <c r="Y9">
        <f t="shared" ref="Y9:Y23" si="13">COUNTIF($X$9:$X$23,"&lt;"&amp;X9)+1</f>
        <v>4</v>
      </c>
    </row>
    <row r="10" spans="1:25" ht="24" customHeight="1" x14ac:dyDescent="0.45">
      <c r="A10" s="55">
        <f>IF(INDEX($W$9:$W$23,$M10)=9,"",2)</f>
        <v>2</v>
      </c>
      <c r="B10" s="56" t="str">
        <f t="shared" si="0"/>
        <v>First-Article Inspection</v>
      </c>
      <c r="C10" s="56" t="str">
        <f t="shared" si="1"/>
        <v>Quality</v>
      </c>
      <c r="D10" s="51">
        <f t="shared" si="2"/>
        <v>2</v>
      </c>
      <c r="E10" s="51">
        <f t="shared" si="3"/>
        <v>1</v>
      </c>
      <c r="F10" s="51">
        <f t="shared" si="4"/>
        <v>0</v>
      </c>
      <c r="G10" s="51">
        <f t="shared" si="5"/>
        <v>3</v>
      </c>
      <c r="H10" s="51">
        <f t="shared" si="6"/>
        <v>1</v>
      </c>
      <c r="I10" s="45" t="str">
        <f t="shared" si="7"/>
        <v>Single point of failure</v>
      </c>
      <c r="J10" s="57" t="str">
        <f t="shared" si="8"/>
        <v>Train a backup</v>
      </c>
      <c r="M10">
        <f>MATCH(2,$Y$9:$Y$23,0)</f>
        <v>5</v>
      </c>
      <c r="N10" t="str">
        <f>IF(Skills!$B$7="","",Skills!$B$7)</f>
        <v>Laser Operation</v>
      </c>
      <c r="O10" t="str">
        <f>IF(OR(N10="",Skills!$C$7=""),"",Skills!$C$7)</f>
        <v>Laser</v>
      </c>
      <c r="P10">
        <f>IF(N10="","",IF(Skills!$E$7="",2,Skills!$E$7))</f>
        <v>2</v>
      </c>
      <c r="Q10">
        <f>IF(N10="","",COUNTIF(Matrix!$D$10:$D$39,"&gt;=3"))</f>
        <v>3</v>
      </c>
      <c r="R10">
        <f>IF(N10="","",COUNTIF(Matrix!$D$10:$D$39,4))</f>
        <v>1</v>
      </c>
      <c r="S10">
        <f>IF(N10="","",COUNTIF(Matrix!$D$10:$D$39,1)+COUNTIF(Matrix!$D$10:$D$39,2))</f>
        <v>2</v>
      </c>
      <c r="T10">
        <f t="shared" si="9"/>
        <v>0</v>
      </c>
      <c r="U10" t="str">
        <f t="shared" si="10"/>
        <v>Covered</v>
      </c>
      <c r="V10" t="str">
        <f t="shared" si="11"/>
        <v>Keep it current</v>
      </c>
      <c r="W10">
        <f t="shared" si="12"/>
        <v>4</v>
      </c>
      <c r="X10">
        <f>W10*100+2</f>
        <v>402</v>
      </c>
      <c r="Y10">
        <f t="shared" si="13"/>
        <v>5</v>
      </c>
    </row>
    <row r="11" spans="1:25" ht="24" customHeight="1" x14ac:dyDescent="0.45">
      <c r="A11" s="55">
        <f>IF(INDEX($W$9:$W$23,$M11)=9,"",3)</f>
        <v>3</v>
      </c>
      <c r="B11" s="56" t="str">
        <f t="shared" si="0"/>
        <v>Forklift</v>
      </c>
      <c r="C11" s="56" t="str">
        <f t="shared" si="1"/>
        <v>All areas</v>
      </c>
      <c r="D11" s="51">
        <f t="shared" si="2"/>
        <v>3</v>
      </c>
      <c r="E11" s="51">
        <f t="shared" si="3"/>
        <v>2</v>
      </c>
      <c r="F11" s="51">
        <f t="shared" si="4"/>
        <v>0</v>
      </c>
      <c r="G11" s="51">
        <f t="shared" si="5"/>
        <v>0</v>
      </c>
      <c r="H11" s="51">
        <f t="shared" si="6"/>
        <v>1</v>
      </c>
      <c r="I11" s="45" t="str">
        <f t="shared" si="7"/>
        <v>Below target</v>
      </c>
      <c r="J11" s="57" t="str">
        <f t="shared" si="8"/>
        <v>Start training someone</v>
      </c>
      <c r="M11">
        <f>MATCH(3,$Y$9:$Y$23,0)</f>
        <v>4</v>
      </c>
      <c r="N11" t="str">
        <f>IF(Skills!$B$8="","",Skills!$B$8)</f>
        <v>Robot Weld Program Select</v>
      </c>
      <c r="O11" t="str">
        <f>IF(OR(N11="",Skills!$C$8=""),"",Skills!$C$8)</f>
        <v>Robot 1–2</v>
      </c>
      <c r="P11">
        <f>IF(N11="","",IF(Skills!$E$8="",2,Skills!$E$8))</f>
        <v>2</v>
      </c>
      <c r="Q11">
        <f>IF(N11="","",COUNTIF(Matrix!$E$10:$E$39,"&gt;=3"))</f>
        <v>2</v>
      </c>
      <c r="R11">
        <f>IF(N11="","",COUNTIF(Matrix!$E$10:$E$39,4))</f>
        <v>0</v>
      </c>
      <c r="S11">
        <f>IF(N11="","",COUNTIF(Matrix!$E$10:$E$39,1)+COUNTIF(Matrix!$E$10:$E$39,2))</f>
        <v>1</v>
      </c>
      <c r="T11">
        <f t="shared" si="9"/>
        <v>0</v>
      </c>
      <c r="U11" t="str">
        <f t="shared" si="10"/>
        <v>Covered</v>
      </c>
      <c r="V11" t="str">
        <f t="shared" si="11"/>
        <v>Keep it current</v>
      </c>
      <c r="W11">
        <f t="shared" si="12"/>
        <v>4</v>
      </c>
      <c r="X11">
        <f>W11*100+3</f>
        <v>403</v>
      </c>
      <c r="Y11">
        <f t="shared" si="13"/>
        <v>6</v>
      </c>
    </row>
    <row r="12" spans="1:25" ht="24" customHeight="1" x14ac:dyDescent="0.45">
      <c r="A12" s="55">
        <f>IF(INDEX($W$9:$W$23,$M12)=9,"",4)</f>
        <v>4</v>
      </c>
      <c r="B12" s="56" t="str">
        <f t="shared" si="0"/>
        <v>Press Brake Setup</v>
      </c>
      <c r="C12" s="56" t="str">
        <f t="shared" si="1"/>
        <v>Press Brake 1–3</v>
      </c>
      <c r="D12" s="51">
        <f t="shared" si="2"/>
        <v>2</v>
      </c>
      <c r="E12" s="51">
        <f t="shared" si="3"/>
        <v>2</v>
      </c>
      <c r="F12" s="51">
        <f t="shared" si="4"/>
        <v>1</v>
      </c>
      <c r="G12" s="51">
        <f t="shared" si="5"/>
        <v>3</v>
      </c>
      <c r="H12" s="51">
        <f t="shared" si="6"/>
        <v>0</v>
      </c>
      <c r="I12" s="45" t="str">
        <f t="shared" si="7"/>
        <v>Covered</v>
      </c>
      <c r="J12" s="57" t="str">
        <f t="shared" si="8"/>
        <v>Keep it current</v>
      </c>
      <c r="M12">
        <f>MATCH(4,$Y$9:$Y$23,0)</f>
        <v>1</v>
      </c>
      <c r="N12" t="str">
        <f>IF(Skills!$B$9="","",Skills!$B$9)</f>
        <v>Forklift</v>
      </c>
      <c r="O12" t="str">
        <f>IF(OR(N12="",Skills!$C$9=""),"",Skills!$C$9)</f>
        <v>All areas</v>
      </c>
      <c r="P12">
        <f>IF(N12="","",IF(Skills!$E$9="",2,Skills!$E$9))</f>
        <v>3</v>
      </c>
      <c r="Q12">
        <f>IF(N12="","",COUNTIF(Matrix!$F$10:$F$39,"&gt;=3"))</f>
        <v>2</v>
      </c>
      <c r="R12">
        <f>IF(N12="","",COUNTIF(Matrix!$F$10:$F$39,4))</f>
        <v>0</v>
      </c>
      <c r="S12">
        <f>IF(N12="","",COUNTIF(Matrix!$F$10:$F$39,1)+COUNTIF(Matrix!$F$10:$F$39,2))</f>
        <v>0</v>
      </c>
      <c r="T12">
        <f t="shared" si="9"/>
        <v>1</v>
      </c>
      <c r="U12" t="str">
        <f t="shared" si="10"/>
        <v>Below target</v>
      </c>
      <c r="V12" t="str">
        <f t="shared" si="11"/>
        <v>Start training someone</v>
      </c>
      <c r="W12">
        <f t="shared" si="12"/>
        <v>3</v>
      </c>
      <c r="X12">
        <f>W12*100+4</f>
        <v>304</v>
      </c>
      <c r="Y12">
        <f t="shared" si="13"/>
        <v>3</v>
      </c>
    </row>
    <row r="13" spans="1:25" ht="24" customHeight="1" x14ac:dyDescent="0.45">
      <c r="A13" s="55">
        <f>IF(INDEX($W$9:$W$23,$M13)=9,"",5)</f>
        <v>5</v>
      </c>
      <c r="B13" s="56" t="str">
        <f t="shared" si="0"/>
        <v>Laser Operation</v>
      </c>
      <c r="C13" s="56" t="str">
        <f t="shared" si="1"/>
        <v>Laser</v>
      </c>
      <c r="D13" s="51">
        <f t="shared" si="2"/>
        <v>2</v>
      </c>
      <c r="E13" s="51">
        <f t="shared" si="3"/>
        <v>3</v>
      </c>
      <c r="F13" s="51">
        <f t="shared" si="4"/>
        <v>1</v>
      </c>
      <c r="G13" s="51">
        <f t="shared" si="5"/>
        <v>2</v>
      </c>
      <c r="H13" s="51">
        <f t="shared" si="6"/>
        <v>0</v>
      </c>
      <c r="I13" s="45" t="str">
        <f t="shared" si="7"/>
        <v>Covered</v>
      </c>
      <c r="J13" s="57" t="str">
        <f t="shared" si="8"/>
        <v>Keep it current</v>
      </c>
      <c r="M13">
        <f>MATCH(5,$Y$9:$Y$23,0)</f>
        <v>2</v>
      </c>
      <c r="N13" t="str">
        <f>IF(Skills!$B$10="","",Skills!$B$10)</f>
        <v>First-Article Inspection</v>
      </c>
      <c r="O13" t="str">
        <f>IF(OR(N13="",Skills!$C$10=""),"",Skills!$C$10)</f>
        <v>Quality</v>
      </c>
      <c r="P13">
        <f>IF(N13="","",IF(Skills!$E$10="",2,Skills!$E$10))</f>
        <v>2</v>
      </c>
      <c r="Q13">
        <f>IF(N13="","",COUNTIF(Matrix!$G$10:$G$39,"&gt;=3"))</f>
        <v>1</v>
      </c>
      <c r="R13">
        <f>IF(N13="","",COUNTIF(Matrix!$G$10:$G$39,4))</f>
        <v>0</v>
      </c>
      <c r="S13">
        <f>IF(N13="","",COUNTIF(Matrix!$G$10:$G$39,1)+COUNTIF(Matrix!$G$10:$G$39,2))</f>
        <v>3</v>
      </c>
      <c r="T13">
        <f t="shared" si="9"/>
        <v>1</v>
      </c>
      <c r="U13" t="str">
        <f t="shared" si="10"/>
        <v>Single point of failure</v>
      </c>
      <c r="V13" t="str">
        <f t="shared" si="11"/>
        <v>Train a backup</v>
      </c>
      <c r="W13">
        <f t="shared" si="12"/>
        <v>2</v>
      </c>
      <c r="X13">
        <f>W13*100+5</f>
        <v>205</v>
      </c>
      <c r="Y13">
        <f t="shared" si="13"/>
        <v>2</v>
      </c>
    </row>
    <row r="14" spans="1:25" ht="24" customHeight="1" x14ac:dyDescent="0.45">
      <c r="A14" s="55">
        <f>IF(INDEX($W$9:$W$23,$M14)=9,"",6)</f>
        <v>6</v>
      </c>
      <c r="B14" s="56" t="str">
        <f t="shared" si="0"/>
        <v>Robot Weld Program Select</v>
      </c>
      <c r="C14" s="56" t="str">
        <f t="shared" si="1"/>
        <v>Robot 1–2</v>
      </c>
      <c r="D14" s="51">
        <f t="shared" si="2"/>
        <v>2</v>
      </c>
      <c r="E14" s="51">
        <f t="shared" si="3"/>
        <v>2</v>
      </c>
      <c r="F14" s="51">
        <f t="shared" si="4"/>
        <v>0</v>
      </c>
      <c r="G14" s="51">
        <f t="shared" si="5"/>
        <v>1</v>
      </c>
      <c r="H14" s="51">
        <f t="shared" si="6"/>
        <v>0</v>
      </c>
      <c r="I14" s="45" t="str">
        <f t="shared" si="7"/>
        <v>Covered</v>
      </c>
      <c r="J14" s="57" t="str">
        <f t="shared" si="8"/>
        <v>Keep it current</v>
      </c>
      <c r="M14">
        <f>MATCH(6,$Y$9:$Y$23,0)</f>
        <v>3</v>
      </c>
      <c r="N14" t="str">
        <f>IF(Skills!$B$11="","",Skills!$B$11)</f>
        <v>Changeover</v>
      </c>
      <c r="O14" t="str">
        <f>IF(OR(N14="",Skills!$C$11=""),"",Skills!$C$11)</f>
        <v>Weld cells</v>
      </c>
      <c r="P14">
        <f>IF(N14="","",IF(Skills!$E$11="",2,Skills!$E$11))</f>
        <v>2</v>
      </c>
      <c r="Q14">
        <f>IF(N14="","",COUNTIF(Matrix!$H$10:$H$39,"&gt;=3"))</f>
        <v>0</v>
      </c>
      <c r="R14">
        <f>IF(N14="","",COUNTIF(Matrix!$H$10:$H$39,4))</f>
        <v>0</v>
      </c>
      <c r="S14">
        <f>IF(N14="","",COUNTIF(Matrix!$H$10:$H$39,1)+COUNTIF(Matrix!$H$10:$H$39,2))</f>
        <v>4</v>
      </c>
      <c r="T14">
        <f t="shared" si="9"/>
        <v>2</v>
      </c>
      <c r="U14" t="str">
        <f t="shared" si="10"/>
        <v>No coverage</v>
      </c>
      <c r="V14" t="str">
        <f t="shared" si="11"/>
        <v>Qualify someone now</v>
      </c>
      <c r="W14">
        <f t="shared" si="12"/>
        <v>1</v>
      </c>
      <c r="X14">
        <f>W14*100+6</f>
        <v>106</v>
      </c>
      <c r="Y14">
        <f t="shared" si="13"/>
        <v>1</v>
      </c>
    </row>
    <row r="15" spans="1:25" ht="24" customHeight="1" x14ac:dyDescent="0.45">
      <c r="A15" s="55" t="str">
        <f>IF(INDEX($W$9:$W$23,$M15)=9,"",7)</f>
        <v/>
      </c>
      <c r="B15" s="56" t="str">
        <f t="shared" si="0"/>
        <v/>
      </c>
      <c r="C15" s="56" t="str">
        <f t="shared" si="1"/>
        <v/>
      </c>
      <c r="D15" s="51" t="str">
        <f t="shared" si="2"/>
        <v/>
      </c>
      <c r="E15" s="51" t="str">
        <f t="shared" si="3"/>
        <v/>
      </c>
      <c r="F15" s="51" t="str">
        <f t="shared" si="4"/>
        <v/>
      </c>
      <c r="G15" s="51" t="str">
        <f t="shared" si="5"/>
        <v/>
      </c>
      <c r="H15" s="51" t="str">
        <f t="shared" si="6"/>
        <v/>
      </c>
      <c r="I15" s="45" t="str">
        <f t="shared" si="7"/>
        <v/>
      </c>
      <c r="J15" s="57" t="str">
        <f t="shared" si="8"/>
        <v/>
      </c>
      <c r="M15">
        <f>MATCH(7,$Y$9:$Y$23,0)</f>
        <v>7</v>
      </c>
      <c r="N15" t="str">
        <f>IF(Skills!$B$12="","",Skills!$B$12)</f>
        <v/>
      </c>
      <c r="O15" t="str">
        <f>IF(OR(N15="",Skills!$C$12=""),"",Skills!$C$12)</f>
        <v/>
      </c>
      <c r="P15" t="str">
        <f>IF(N15="","",IF(Skills!$E$12="",2,Skills!$E$12))</f>
        <v/>
      </c>
      <c r="Q15" t="str">
        <f>IF(N15="","",COUNTIF(Matrix!$I$10:$I$39,"&gt;=3"))</f>
        <v/>
      </c>
      <c r="R15" t="str">
        <f>IF(N15="","",COUNTIF(Matrix!$I$10:$I$39,4))</f>
        <v/>
      </c>
      <c r="S15" t="str">
        <f>IF(N15="","",COUNTIF(Matrix!$I$10:$I$39,1)+COUNTIF(Matrix!$I$10:$I$39,2))</f>
        <v/>
      </c>
      <c r="T15" t="str">
        <f t="shared" si="9"/>
        <v/>
      </c>
      <c r="U15" t="str">
        <f t="shared" si="10"/>
        <v/>
      </c>
      <c r="V15" t="str">
        <f t="shared" si="11"/>
        <v/>
      </c>
      <c r="W15">
        <f t="shared" si="12"/>
        <v>9</v>
      </c>
      <c r="X15">
        <f>W15*100+7</f>
        <v>907</v>
      </c>
      <c r="Y15">
        <f t="shared" si="13"/>
        <v>7</v>
      </c>
    </row>
    <row r="16" spans="1:25" ht="24" customHeight="1" x14ac:dyDescent="0.45">
      <c r="A16" s="55" t="str">
        <f>IF(INDEX($W$9:$W$23,$M16)=9,"",8)</f>
        <v/>
      </c>
      <c r="B16" s="56" t="str">
        <f t="shared" si="0"/>
        <v/>
      </c>
      <c r="C16" s="56" t="str">
        <f t="shared" si="1"/>
        <v/>
      </c>
      <c r="D16" s="51" t="str">
        <f t="shared" si="2"/>
        <v/>
      </c>
      <c r="E16" s="51" t="str">
        <f t="shared" si="3"/>
        <v/>
      </c>
      <c r="F16" s="51" t="str">
        <f t="shared" si="4"/>
        <v/>
      </c>
      <c r="G16" s="51" t="str">
        <f t="shared" si="5"/>
        <v/>
      </c>
      <c r="H16" s="51" t="str">
        <f t="shared" si="6"/>
        <v/>
      </c>
      <c r="I16" s="45" t="str">
        <f t="shared" si="7"/>
        <v/>
      </c>
      <c r="J16" s="57" t="str">
        <f t="shared" si="8"/>
        <v/>
      </c>
      <c r="M16">
        <f>MATCH(8,$Y$9:$Y$23,0)</f>
        <v>8</v>
      </c>
      <c r="N16" t="str">
        <f>IF(Skills!$B$13="","",Skills!$B$13)</f>
        <v/>
      </c>
      <c r="O16" t="str">
        <f>IF(OR(N16="",Skills!$C$13=""),"",Skills!$C$13)</f>
        <v/>
      </c>
      <c r="P16" t="str">
        <f>IF(N16="","",IF(Skills!$E$13="",2,Skills!$E$13))</f>
        <v/>
      </c>
      <c r="Q16" t="str">
        <f>IF(N16="","",COUNTIF(Matrix!$J$10:$J$39,"&gt;=3"))</f>
        <v/>
      </c>
      <c r="R16" t="str">
        <f>IF(N16="","",COUNTIF(Matrix!$J$10:$J$39,4))</f>
        <v/>
      </c>
      <c r="S16" t="str">
        <f>IF(N16="","",COUNTIF(Matrix!$J$10:$J$39,1)+COUNTIF(Matrix!$J$10:$J$39,2))</f>
        <v/>
      </c>
      <c r="T16" t="str">
        <f t="shared" si="9"/>
        <v/>
      </c>
      <c r="U16" t="str">
        <f t="shared" si="10"/>
        <v/>
      </c>
      <c r="V16" t="str">
        <f t="shared" si="11"/>
        <v/>
      </c>
      <c r="W16">
        <f t="shared" si="12"/>
        <v>9</v>
      </c>
      <c r="X16">
        <f>W16*100+8</f>
        <v>908</v>
      </c>
      <c r="Y16">
        <f t="shared" si="13"/>
        <v>8</v>
      </c>
    </row>
    <row r="17" spans="1:25" ht="24" customHeight="1" x14ac:dyDescent="0.45">
      <c r="A17" s="55" t="str">
        <f>IF(INDEX($W$9:$W$23,$M17)=9,"",9)</f>
        <v/>
      </c>
      <c r="B17" s="56" t="str">
        <f t="shared" si="0"/>
        <v/>
      </c>
      <c r="C17" s="56" t="str">
        <f t="shared" si="1"/>
        <v/>
      </c>
      <c r="D17" s="51" t="str">
        <f t="shared" si="2"/>
        <v/>
      </c>
      <c r="E17" s="51" t="str">
        <f t="shared" si="3"/>
        <v/>
      </c>
      <c r="F17" s="51" t="str">
        <f t="shared" si="4"/>
        <v/>
      </c>
      <c r="G17" s="51" t="str">
        <f t="shared" si="5"/>
        <v/>
      </c>
      <c r="H17" s="51" t="str">
        <f t="shared" si="6"/>
        <v/>
      </c>
      <c r="I17" s="45" t="str">
        <f t="shared" si="7"/>
        <v/>
      </c>
      <c r="J17" s="57" t="str">
        <f t="shared" si="8"/>
        <v/>
      </c>
      <c r="M17">
        <f>MATCH(9,$Y$9:$Y$23,0)</f>
        <v>9</v>
      </c>
      <c r="N17" t="str">
        <f>IF(Skills!$B$14="","",Skills!$B$14)</f>
        <v/>
      </c>
      <c r="O17" t="str">
        <f>IF(OR(N17="",Skills!$C$14=""),"",Skills!$C$14)</f>
        <v/>
      </c>
      <c r="P17" t="str">
        <f>IF(N17="","",IF(Skills!$E$14="",2,Skills!$E$14))</f>
        <v/>
      </c>
      <c r="Q17" t="str">
        <f>IF(N17="","",COUNTIF(Matrix!$K$10:$K$39,"&gt;=3"))</f>
        <v/>
      </c>
      <c r="R17" t="str">
        <f>IF(N17="","",COUNTIF(Matrix!$K$10:$K$39,4))</f>
        <v/>
      </c>
      <c r="S17" t="str">
        <f>IF(N17="","",COUNTIF(Matrix!$K$10:$K$39,1)+COUNTIF(Matrix!$K$10:$K$39,2))</f>
        <v/>
      </c>
      <c r="T17" t="str">
        <f t="shared" si="9"/>
        <v/>
      </c>
      <c r="U17" t="str">
        <f t="shared" si="10"/>
        <v/>
      </c>
      <c r="V17" t="str">
        <f t="shared" si="11"/>
        <v/>
      </c>
      <c r="W17">
        <f t="shared" si="12"/>
        <v>9</v>
      </c>
      <c r="X17">
        <f>W17*100+9</f>
        <v>909</v>
      </c>
      <c r="Y17">
        <f t="shared" si="13"/>
        <v>9</v>
      </c>
    </row>
    <row r="18" spans="1:25" ht="24" customHeight="1" x14ac:dyDescent="0.45">
      <c r="A18" s="55" t="str">
        <f>IF(INDEX($W$9:$W$23,$M18)=9,"",10)</f>
        <v/>
      </c>
      <c r="B18" s="56" t="str">
        <f t="shared" si="0"/>
        <v/>
      </c>
      <c r="C18" s="56" t="str">
        <f t="shared" si="1"/>
        <v/>
      </c>
      <c r="D18" s="51" t="str">
        <f t="shared" si="2"/>
        <v/>
      </c>
      <c r="E18" s="51" t="str">
        <f t="shared" si="3"/>
        <v/>
      </c>
      <c r="F18" s="51" t="str">
        <f t="shared" si="4"/>
        <v/>
      </c>
      <c r="G18" s="51" t="str">
        <f t="shared" si="5"/>
        <v/>
      </c>
      <c r="H18" s="51" t="str">
        <f t="shared" si="6"/>
        <v/>
      </c>
      <c r="I18" s="45" t="str">
        <f t="shared" si="7"/>
        <v/>
      </c>
      <c r="J18" s="57" t="str">
        <f t="shared" si="8"/>
        <v/>
      </c>
      <c r="M18">
        <f>MATCH(10,$Y$9:$Y$23,0)</f>
        <v>10</v>
      </c>
      <c r="N18" t="str">
        <f>IF(Skills!$B$15="","",Skills!$B$15)</f>
        <v/>
      </c>
      <c r="O18" t="str">
        <f>IF(OR(N18="",Skills!$C$15=""),"",Skills!$C$15)</f>
        <v/>
      </c>
      <c r="P18" t="str">
        <f>IF(N18="","",IF(Skills!$E$15="",2,Skills!$E$15))</f>
        <v/>
      </c>
      <c r="Q18" t="str">
        <f>IF(N18="","",COUNTIF(Matrix!$L$10:$L$39,"&gt;=3"))</f>
        <v/>
      </c>
      <c r="R18" t="str">
        <f>IF(N18="","",COUNTIF(Matrix!$L$10:$L$39,4))</f>
        <v/>
      </c>
      <c r="S18" t="str">
        <f>IF(N18="","",COUNTIF(Matrix!$L$10:$L$39,1)+COUNTIF(Matrix!$L$10:$L$39,2))</f>
        <v/>
      </c>
      <c r="T18" t="str">
        <f t="shared" si="9"/>
        <v/>
      </c>
      <c r="U18" t="str">
        <f t="shared" si="10"/>
        <v/>
      </c>
      <c r="V18" t="str">
        <f t="shared" si="11"/>
        <v/>
      </c>
      <c r="W18">
        <f t="shared" si="12"/>
        <v>9</v>
      </c>
      <c r="X18">
        <f>W18*100+10</f>
        <v>910</v>
      </c>
      <c r="Y18">
        <f t="shared" si="13"/>
        <v>10</v>
      </c>
    </row>
    <row r="19" spans="1:25" ht="24" customHeight="1" x14ac:dyDescent="0.45">
      <c r="A19" s="55" t="str">
        <f>IF(INDEX($W$9:$W$23,$M19)=9,"",11)</f>
        <v/>
      </c>
      <c r="B19" s="56" t="str">
        <f t="shared" si="0"/>
        <v/>
      </c>
      <c r="C19" s="56" t="str">
        <f t="shared" si="1"/>
        <v/>
      </c>
      <c r="D19" s="51" t="str">
        <f t="shared" si="2"/>
        <v/>
      </c>
      <c r="E19" s="51" t="str">
        <f t="shared" si="3"/>
        <v/>
      </c>
      <c r="F19" s="51" t="str">
        <f t="shared" si="4"/>
        <v/>
      </c>
      <c r="G19" s="51" t="str">
        <f t="shared" si="5"/>
        <v/>
      </c>
      <c r="H19" s="51" t="str">
        <f t="shared" si="6"/>
        <v/>
      </c>
      <c r="I19" s="45" t="str">
        <f t="shared" si="7"/>
        <v/>
      </c>
      <c r="J19" s="57" t="str">
        <f t="shared" si="8"/>
        <v/>
      </c>
      <c r="M19">
        <f>MATCH(11,$Y$9:$Y$23,0)</f>
        <v>11</v>
      </c>
      <c r="N19" t="str">
        <f>IF(Skills!$B$16="","",Skills!$B$16)</f>
        <v/>
      </c>
      <c r="O19" t="str">
        <f>IF(OR(N19="",Skills!$C$16=""),"",Skills!$C$16)</f>
        <v/>
      </c>
      <c r="P19" t="str">
        <f>IF(N19="","",IF(Skills!$E$16="",2,Skills!$E$16))</f>
        <v/>
      </c>
      <c r="Q19" t="str">
        <f>IF(N19="","",COUNTIF(Matrix!$M$10:$M$39,"&gt;=3"))</f>
        <v/>
      </c>
      <c r="R19" t="str">
        <f>IF(N19="","",COUNTIF(Matrix!$M$10:$M$39,4))</f>
        <v/>
      </c>
      <c r="S19" t="str">
        <f>IF(N19="","",COUNTIF(Matrix!$M$10:$M$39,1)+COUNTIF(Matrix!$M$10:$M$39,2))</f>
        <v/>
      </c>
      <c r="T19" t="str">
        <f t="shared" si="9"/>
        <v/>
      </c>
      <c r="U19" t="str">
        <f t="shared" si="10"/>
        <v/>
      </c>
      <c r="V19" t="str">
        <f t="shared" si="11"/>
        <v/>
      </c>
      <c r="W19">
        <f t="shared" si="12"/>
        <v>9</v>
      </c>
      <c r="X19">
        <f>W19*100+11</f>
        <v>911</v>
      </c>
      <c r="Y19">
        <f t="shared" si="13"/>
        <v>11</v>
      </c>
    </row>
    <row r="20" spans="1:25" ht="24" customHeight="1" x14ac:dyDescent="0.45">
      <c r="A20" s="55" t="str">
        <f>IF(INDEX($W$9:$W$23,$M20)=9,"",12)</f>
        <v/>
      </c>
      <c r="B20" s="56" t="str">
        <f t="shared" si="0"/>
        <v/>
      </c>
      <c r="C20" s="56" t="str">
        <f t="shared" si="1"/>
        <v/>
      </c>
      <c r="D20" s="51" t="str">
        <f t="shared" si="2"/>
        <v/>
      </c>
      <c r="E20" s="51" t="str">
        <f t="shared" si="3"/>
        <v/>
      </c>
      <c r="F20" s="51" t="str">
        <f t="shared" si="4"/>
        <v/>
      </c>
      <c r="G20" s="51" t="str">
        <f t="shared" si="5"/>
        <v/>
      </c>
      <c r="H20" s="51" t="str">
        <f t="shared" si="6"/>
        <v/>
      </c>
      <c r="I20" s="45" t="str">
        <f t="shared" si="7"/>
        <v/>
      </c>
      <c r="J20" s="57" t="str">
        <f t="shared" si="8"/>
        <v/>
      </c>
      <c r="M20">
        <f>MATCH(12,$Y$9:$Y$23,0)</f>
        <v>12</v>
      </c>
      <c r="N20" t="str">
        <f>IF(Skills!$B$17="","",Skills!$B$17)</f>
        <v/>
      </c>
      <c r="O20" t="str">
        <f>IF(OR(N20="",Skills!$C$17=""),"",Skills!$C$17)</f>
        <v/>
      </c>
      <c r="P20" t="str">
        <f>IF(N20="","",IF(Skills!$E$17="",2,Skills!$E$17))</f>
        <v/>
      </c>
      <c r="Q20" t="str">
        <f>IF(N20="","",COUNTIF(Matrix!$N$10:$N$39,"&gt;=3"))</f>
        <v/>
      </c>
      <c r="R20" t="str">
        <f>IF(N20="","",COUNTIF(Matrix!$N$10:$N$39,4))</f>
        <v/>
      </c>
      <c r="S20" t="str">
        <f>IF(N20="","",COUNTIF(Matrix!$N$10:$N$39,1)+COUNTIF(Matrix!$N$10:$N$39,2))</f>
        <v/>
      </c>
      <c r="T20" t="str">
        <f t="shared" si="9"/>
        <v/>
      </c>
      <c r="U20" t="str">
        <f t="shared" si="10"/>
        <v/>
      </c>
      <c r="V20" t="str">
        <f t="shared" si="11"/>
        <v/>
      </c>
      <c r="W20">
        <f t="shared" si="12"/>
        <v>9</v>
      </c>
      <c r="X20">
        <f>W20*100+12</f>
        <v>912</v>
      </c>
      <c r="Y20">
        <f t="shared" si="13"/>
        <v>12</v>
      </c>
    </row>
    <row r="21" spans="1:25" ht="24" customHeight="1" x14ac:dyDescent="0.45">
      <c r="A21" s="55" t="str">
        <f>IF(INDEX($W$9:$W$23,$M21)=9,"",13)</f>
        <v/>
      </c>
      <c r="B21" s="56" t="str">
        <f t="shared" si="0"/>
        <v/>
      </c>
      <c r="C21" s="56" t="str">
        <f t="shared" si="1"/>
        <v/>
      </c>
      <c r="D21" s="51" t="str">
        <f t="shared" si="2"/>
        <v/>
      </c>
      <c r="E21" s="51" t="str">
        <f t="shared" si="3"/>
        <v/>
      </c>
      <c r="F21" s="51" t="str">
        <f t="shared" si="4"/>
        <v/>
      </c>
      <c r="G21" s="51" t="str">
        <f t="shared" si="5"/>
        <v/>
      </c>
      <c r="H21" s="51" t="str">
        <f t="shared" si="6"/>
        <v/>
      </c>
      <c r="I21" s="45" t="str">
        <f t="shared" si="7"/>
        <v/>
      </c>
      <c r="J21" s="57" t="str">
        <f t="shared" si="8"/>
        <v/>
      </c>
      <c r="M21">
        <f>MATCH(13,$Y$9:$Y$23,0)</f>
        <v>13</v>
      </c>
      <c r="N21" t="str">
        <f>IF(Skills!$B$18="","",Skills!$B$18)</f>
        <v/>
      </c>
      <c r="O21" t="str">
        <f>IF(OR(N21="",Skills!$C$18=""),"",Skills!$C$18)</f>
        <v/>
      </c>
      <c r="P21" t="str">
        <f>IF(N21="","",IF(Skills!$E$18="",2,Skills!$E$18))</f>
        <v/>
      </c>
      <c r="Q21" t="str">
        <f>IF(N21="","",COUNTIF(Matrix!$O$10:$O$39,"&gt;=3"))</f>
        <v/>
      </c>
      <c r="R21" t="str">
        <f>IF(N21="","",COUNTIF(Matrix!$O$10:$O$39,4))</f>
        <v/>
      </c>
      <c r="S21" t="str">
        <f>IF(N21="","",COUNTIF(Matrix!$O$10:$O$39,1)+COUNTIF(Matrix!$O$10:$O$39,2))</f>
        <v/>
      </c>
      <c r="T21" t="str">
        <f t="shared" si="9"/>
        <v/>
      </c>
      <c r="U21" t="str">
        <f t="shared" si="10"/>
        <v/>
      </c>
      <c r="V21" t="str">
        <f t="shared" si="11"/>
        <v/>
      </c>
      <c r="W21">
        <f t="shared" si="12"/>
        <v>9</v>
      </c>
      <c r="X21">
        <f>W21*100+13</f>
        <v>913</v>
      </c>
      <c r="Y21">
        <f t="shared" si="13"/>
        <v>13</v>
      </c>
    </row>
    <row r="22" spans="1:25" ht="24" customHeight="1" x14ac:dyDescent="0.45">
      <c r="A22" s="55" t="str">
        <f>IF(INDEX($W$9:$W$23,$M22)=9,"",14)</f>
        <v/>
      </c>
      <c r="B22" s="56" t="str">
        <f t="shared" si="0"/>
        <v/>
      </c>
      <c r="C22" s="56" t="str">
        <f t="shared" si="1"/>
        <v/>
      </c>
      <c r="D22" s="51" t="str">
        <f t="shared" si="2"/>
        <v/>
      </c>
      <c r="E22" s="51" t="str">
        <f t="shared" si="3"/>
        <v/>
      </c>
      <c r="F22" s="51" t="str">
        <f t="shared" si="4"/>
        <v/>
      </c>
      <c r="G22" s="51" t="str">
        <f t="shared" si="5"/>
        <v/>
      </c>
      <c r="H22" s="51" t="str">
        <f t="shared" si="6"/>
        <v/>
      </c>
      <c r="I22" s="45" t="str">
        <f t="shared" si="7"/>
        <v/>
      </c>
      <c r="J22" s="57" t="str">
        <f t="shared" si="8"/>
        <v/>
      </c>
      <c r="M22">
        <f>MATCH(14,$Y$9:$Y$23,0)</f>
        <v>14</v>
      </c>
      <c r="N22" t="str">
        <f>IF(Skills!$B$19="","",Skills!$B$19)</f>
        <v/>
      </c>
      <c r="O22" t="str">
        <f>IF(OR(N22="",Skills!$C$19=""),"",Skills!$C$19)</f>
        <v/>
      </c>
      <c r="P22" t="str">
        <f>IF(N22="","",IF(Skills!$E$19="",2,Skills!$E$19))</f>
        <v/>
      </c>
      <c r="Q22" t="str">
        <f>IF(N22="","",COUNTIF(Matrix!$P$10:$P$39,"&gt;=3"))</f>
        <v/>
      </c>
      <c r="R22" t="str">
        <f>IF(N22="","",COUNTIF(Matrix!$P$10:$P$39,4))</f>
        <v/>
      </c>
      <c r="S22" t="str">
        <f>IF(N22="","",COUNTIF(Matrix!$P$10:$P$39,1)+COUNTIF(Matrix!$P$10:$P$39,2))</f>
        <v/>
      </c>
      <c r="T22" t="str">
        <f t="shared" si="9"/>
        <v/>
      </c>
      <c r="U22" t="str">
        <f t="shared" si="10"/>
        <v/>
      </c>
      <c r="V22" t="str">
        <f t="shared" si="11"/>
        <v/>
      </c>
      <c r="W22">
        <f t="shared" si="12"/>
        <v>9</v>
      </c>
      <c r="X22">
        <f>W22*100+14</f>
        <v>914</v>
      </c>
      <c r="Y22">
        <f t="shared" si="13"/>
        <v>14</v>
      </c>
    </row>
    <row r="23" spans="1:25" ht="24" customHeight="1" x14ac:dyDescent="0.45">
      <c r="A23" s="55" t="str">
        <f>IF(INDEX($W$9:$W$23,$M23)=9,"",15)</f>
        <v/>
      </c>
      <c r="B23" s="56" t="str">
        <f t="shared" si="0"/>
        <v/>
      </c>
      <c r="C23" s="56" t="str">
        <f t="shared" si="1"/>
        <v/>
      </c>
      <c r="D23" s="51" t="str">
        <f t="shared" si="2"/>
        <v/>
      </c>
      <c r="E23" s="51" t="str">
        <f t="shared" si="3"/>
        <v/>
      </c>
      <c r="F23" s="51" t="str">
        <f t="shared" si="4"/>
        <v/>
      </c>
      <c r="G23" s="51" t="str">
        <f t="shared" si="5"/>
        <v/>
      </c>
      <c r="H23" s="51" t="str">
        <f t="shared" si="6"/>
        <v/>
      </c>
      <c r="I23" s="45" t="str">
        <f t="shared" si="7"/>
        <v/>
      </c>
      <c r="J23" s="57" t="str">
        <f t="shared" si="8"/>
        <v/>
      </c>
      <c r="M23">
        <f>MATCH(15,$Y$9:$Y$23,0)</f>
        <v>15</v>
      </c>
      <c r="N23" t="str">
        <f>IF(Skills!$B$20="","",Skills!$B$20)</f>
        <v/>
      </c>
      <c r="O23" t="str">
        <f>IF(OR(N23="",Skills!$C$20=""),"",Skills!$C$20)</f>
        <v/>
      </c>
      <c r="P23" t="str">
        <f>IF(N23="","",IF(Skills!$E$20="",2,Skills!$E$20))</f>
        <v/>
      </c>
      <c r="Q23" t="str">
        <f>IF(N23="","",COUNTIF(Matrix!$Q$10:$Q$39,"&gt;=3"))</f>
        <v/>
      </c>
      <c r="R23" t="str">
        <f>IF(N23="","",COUNTIF(Matrix!$Q$10:$Q$39,4))</f>
        <v/>
      </c>
      <c r="S23" t="str">
        <f>IF(N23="","",COUNTIF(Matrix!$Q$10:$Q$39,1)+COUNTIF(Matrix!$Q$10:$Q$39,2))</f>
        <v/>
      </c>
      <c r="T23" t="str">
        <f t="shared" si="9"/>
        <v/>
      </c>
      <c r="U23" t="str">
        <f t="shared" si="10"/>
        <v/>
      </c>
      <c r="V23" t="str">
        <f t="shared" si="11"/>
        <v/>
      </c>
      <c r="W23">
        <f t="shared" si="12"/>
        <v>9</v>
      </c>
      <c r="X23">
        <f>W23*100+15</f>
        <v>915</v>
      </c>
      <c r="Y23">
        <f t="shared" si="13"/>
        <v>15</v>
      </c>
    </row>
    <row r="25" spans="1:25" x14ac:dyDescent="0.45">
      <c r="A25" s="36" t="s">
        <v>108</v>
      </c>
    </row>
    <row r="26" spans="1:25" x14ac:dyDescent="0.45">
      <c r="A26" s="54" t="s">
        <v>40</v>
      </c>
    </row>
  </sheetData>
  <sheetProtection sheet="1" formatColumns="0" formatRows="0"/>
  <mergeCells count="9">
    <mergeCell ref="A5:B5"/>
    <mergeCell ref="C5:E5"/>
    <mergeCell ref="F5:H5"/>
    <mergeCell ref="I5:J5"/>
    <mergeCell ref="A1:J1"/>
    <mergeCell ref="A4:B4"/>
    <mergeCell ref="C4:E4"/>
    <mergeCell ref="F4:H4"/>
    <mergeCell ref="I4:J4"/>
  </mergeCells>
  <conditionalFormatting sqref="I9:J23">
    <cfRule type="expression" dxfId="3" priority="2">
      <formula>$I9="Covered"</formula>
    </cfRule>
    <cfRule type="expression" dxfId="2" priority="3">
      <formula>$I9="Below target"</formula>
    </cfRule>
    <cfRule type="expression" dxfId="1" priority="4">
      <formula>$I9="Single point of failure"</formula>
    </cfRule>
    <cfRule type="expression" dxfId="0" priority="5">
      <formula>$I9="No coverage"</formula>
    </cfRule>
  </conditionalFormatting>
  <pageMargins left="0.75" right="0.75" top="1" bottom="1" header="0.511811023622047" footer="0.511811023622047"/>
  <pageSetup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97316"/>
    <pageSetUpPr fitToPage="1"/>
  </sheetPr>
  <dimension ref="A1:I45"/>
  <sheetViews>
    <sheetView zoomScaleNormal="100" workbookViewId="0">
      <pane ySplit="5" topLeftCell="A6" activePane="bottomLeft" state="frozen"/>
      <selection pane="bottomLeft" sqref="A1:I1"/>
    </sheetView>
  </sheetViews>
  <sheetFormatPr defaultColWidth="8.6640625" defaultRowHeight="14.25" x14ac:dyDescent="0.45"/>
  <cols>
    <col min="1" max="1" width="26" customWidth="1"/>
    <col min="2" max="2" width="20" customWidth="1"/>
    <col min="3" max="3" width="18" customWidth="1"/>
    <col min="4" max="5" width="12" customWidth="1"/>
    <col min="6" max="6" width="10" customWidth="1"/>
    <col min="7" max="7" width="18" customWidth="1"/>
    <col min="8" max="8" width="12" customWidth="1"/>
    <col min="9" max="9" width="36" customWidth="1"/>
  </cols>
  <sheetData>
    <row r="1" spans="1:9" ht="51.75" customHeight="1" x14ac:dyDescent="0.45">
      <c r="A1" s="14" t="s">
        <v>109</v>
      </c>
      <c r="B1" s="14"/>
      <c r="C1" s="14"/>
      <c r="D1" s="14"/>
      <c r="E1" s="14"/>
      <c r="F1" s="14"/>
      <c r="G1" s="14"/>
      <c r="H1" s="14"/>
      <c r="I1" s="14"/>
    </row>
    <row r="2" spans="1:9" x14ac:dyDescent="0.45">
      <c r="A2" s="36" t="s">
        <v>110</v>
      </c>
    </row>
    <row r="3" spans="1:9" x14ac:dyDescent="0.45">
      <c r="A3" s="36" t="s">
        <v>111</v>
      </c>
      <c r="I3" s="37" t="s">
        <v>43</v>
      </c>
    </row>
    <row r="5" spans="1:9" ht="30" customHeight="1" x14ac:dyDescent="0.45">
      <c r="A5" s="39" t="s">
        <v>46</v>
      </c>
      <c r="B5" s="39" t="s">
        <v>112</v>
      </c>
      <c r="C5" s="39" t="s">
        <v>113</v>
      </c>
      <c r="D5" s="38" t="s">
        <v>114</v>
      </c>
      <c r="E5" s="38" t="s">
        <v>115</v>
      </c>
      <c r="F5" s="38" t="s">
        <v>116</v>
      </c>
      <c r="G5" s="39" t="s">
        <v>117</v>
      </c>
      <c r="H5" s="38" t="s">
        <v>118</v>
      </c>
      <c r="I5" s="39" t="s">
        <v>119</v>
      </c>
    </row>
    <row r="6" spans="1:9" ht="27.75" customHeight="1" x14ac:dyDescent="0.45">
      <c r="A6" s="44" t="s">
        <v>65</v>
      </c>
      <c r="B6" s="44" t="s">
        <v>85</v>
      </c>
      <c r="C6" s="44" t="s">
        <v>120</v>
      </c>
      <c r="D6" s="58">
        <v>46300</v>
      </c>
      <c r="E6" s="58">
        <v>46339</v>
      </c>
      <c r="F6" s="59">
        <v>2</v>
      </c>
      <c r="G6" s="44"/>
      <c r="H6" s="58"/>
      <c r="I6" s="41" t="s">
        <v>121</v>
      </c>
    </row>
    <row r="7" spans="1:9" ht="27.75" customHeight="1" x14ac:dyDescent="0.45">
      <c r="A7" s="44" t="s">
        <v>62</v>
      </c>
      <c r="B7" s="44" t="s">
        <v>93</v>
      </c>
      <c r="C7" s="44" t="s">
        <v>89</v>
      </c>
      <c r="D7" s="58">
        <v>46307</v>
      </c>
      <c r="E7" s="58">
        <v>46346</v>
      </c>
      <c r="F7" s="59">
        <v>1</v>
      </c>
      <c r="G7" s="44"/>
      <c r="H7" s="58"/>
      <c r="I7" s="41" t="s">
        <v>122</v>
      </c>
    </row>
    <row r="8" spans="1:9" ht="27.75" customHeight="1" x14ac:dyDescent="0.45">
      <c r="A8" s="44" t="s">
        <v>59</v>
      </c>
      <c r="B8" s="44" t="s">
        <v>92</v>
      </c>
      <c r="C8" s="44" t="s">
        <v>123</v>
      </c>
      <c r="D8" s="58">
        <v>46296</v>
      </c>
      <c r="E8" s="58">
        <v>46325</v>
      </c>
      <c r="F8" s="59">
        <v>3</v>
      </c>
      <c r="G8" s="44" t="s">
        <v>124</v>
      </c>
      <c r="H8" s="58">
        <v>46304</v>
      </c>
      <c r="I8" s="41" t="s">
        <v>125</v>
      </c>
    </row>
    <row r="9" spans="1:9" x14ac:dyDescent="0.45">
      <c r="A9" s="44"/>
      <c r="B9" s="44"/>
      <c r="C9" s="44"/>
      <c r="D9" s="58"/>
      <c r="E9" s="58"/>
      <c r="F9" s="59"/>
      <c r="G9" s="44"/>
      <c r="H9" s="58"/>
      <c r="I9" s="41"/>
    </row>
    <row r="10" spans="1:9" x14ac:dyDescent="0.45">
      <c r="A10" s="44"/>
      <c r="B10" s="44"/>
      <c r="C10" s="44"/>
      <c r="D10" s="58"/>
      <c r="E10" s="58"/>
      <c r="F10" s="59"/>
      <c r="G10" s="44"/>
      <c r="H10" s="58"/>
      <c r="I10" s="41"/>
    </row>
    <row r="11" spans="1:9" x14ac:dyDescent="0.45">
      <c r="A11" s="44"/>
      <c r="B11" s="44"/>
      <c r="C11" s="44"/>
      <c r="D11" s="58"/>
      <c r="E11" s="58"/>
      <c r="F11" s="59"/>
      <c r="G11" s="44"/>
      <c r="H11" s="58"/>
      <c r="I11" s="41"/>
    </row>
    <row r="12" spans="1:9" x14ac:dyDescent="0.45">
      <c r="A12" s="44"/>
      <c r="B12" s="44"/>
      <c r="C12" s="44"/>
      <c r="D12" s="58"/>
      <c r="E12" s="58"/>
      <c r="F12" s="59"/>
      <c r="G12" s="44"/>
      <c r="H12" s="58"/>
      <c r="I12" s="41"/>
    </row>
    <row r="13" spans="1:9" x14ac:dyDescent="0.45">
      <c r="A13" s="44"/>
      <c r="B13" s="44"/>
      <c r="C13" s="44"/>
      <c r="D13" s="58"/>
      <c r="E13" s="58"/>
      <c r="F13" s="59"/>
      <c r="G13" s="44"/>
      <c r="H13" s="58"/>
      <c r="I13" s="41"/>
    </row>
    <row r="14" spans="1:9" x14ac:dyDescent="0.45">
      <c r="A14" s="44"/>
      <c r="B14" s="44"/>
      <c r="C14" s="44"/>
      <c r="D14" s="58"/>
      <c r="E14" s="58"/>
      <c r="F14" s="59"/>
      <c r="G14" s="44"/>
      <c r="H14" s="58"/>
      <c r="I14" s="41"/>
    </row>
    <row r="15" spans="1:9" x14ac:dyDescent="0.45">
      <c r="A15" s="44"/>
      <c r="B15" s="44"/>
      <c r="C15" s="44"/>
      <c r="D15" s="58"/>
      <c r="E15" s="58"/>
      <c r="F15" s="59"/>
      <c r="G15" s="44"/>
      <c r="H15" s="58"/>
      <c r="I15" s="41"/>
    </row>
    <row r="16" spans="1:9" x14ac:dyDescent="0.45">
      <c r="A16" s="44"/>
      <c r="B16" s="44"/>
      <c r="C16" s="44"/>
      <c r="D16" s="58"/>
      <c r="E16" s="58"/>
      <c r="F16" s="59"/>
      <c r="G16" s="44"/>
      <c r="H16" s="58"/>
      <c r="I16" s="41"/>
    </row>
    <row r="17" spans="1:9" x14ac:dyDescent="0.45">
      <c r="A17" s="44"/>
      <c r="B17" s="44"/>
      <c r="C17" s="44"/>
      <c r="D17" s="58"/>
      <c r="E17" s="58"/>
      <c r="F17" s="59"/>
      <c r="G17" s="44"/>
      <c r="H17" s="58"/>
      <c r="I17" s="41"/>
    </row>
    <row r="18" spans="1:9" x14ac:dyDescent="0.45">
      <c r="A18" s="44"/>
      <c r="B18" s="44"/>
      <c r="C18" s="44"/>
      <c r="D18" s="58"/>
      <c r="E18" s="58"/>
      <c r="F18" s="59"/>
      <c r="G18" s="44"/>
      <c r="H18" s="58"/>
      <c r="I18" s="41"/>
    </row>
    <row r="19" spans="1:9" x14ac:dyDescent="0.45">
      <c r="A19" s="44"/>
      <c r="B19" s="44"/>
      <c r="C19" s="44"/>
      <c r="D19" s="58"/>
      <c r="E19" s="58"/>
      <c r="F19" s="59"/>
      <c r="G19" s="44"/>
      <c r="H19" s="58"/>
      <c r="I19" s="41"/>
    </row>
    <row r="20" spans="1:9" x14ac:dyDescent="0.45">
      <c r="A20" s="44"/>
      <c r="B20" s="44"/>
      <c r="C20" s="44"/>
      <c r="D20" s="58"/>
      <c r="E20" s="58"/>
      <c r="F20" s="59"/>
      <c r="G20" s="44"/>
      <c r="H20" s="58"/>
      <c r="I20" s="41"/>
    </row>
    <row r="21" spans="1:9" x14ac:dyDescent="0.45">
      <c r="A21" s="44"/>
      <c r="B21" s="44"/>
      <c r="C21" s="44"/>
      <c r="D21" s="58"/>
      <c r="E21" s="58"/>
      <c r="F21" s="59"/>
      <c r="G21" s="44"/>
      <c r="H21" s="58"/>
      <c r="I21" s="41"/>
    </row>
    <row r="22" spans="1:9" x14ac:dyDescent="0.45">
      <c r="A22" s="44"/>
      <c r="B22" s="44"/>
      <c r="C22" s="44"/>
      <c r="D22" s="58"/>
      <c r="E22" s="58"/>
      <c r="F22" s="59"/>
      <c r="G22" s="44"/>
      <c r="H22" s="58"/>
      <c r="I22" s="41"/>
    </row>
    <row r="23" spans="1:9" x14ac:dyDescent="0.45">
      <c r="A23" s="44"/>
      <c r="B23" s="44"/>
      <c r="C23" s="44"/>
      <c r="D23" s="58"/>
      <c r="E23" s="58"/>
      <c r="F23" s="59"/>
      <c r="G23" s="44"/>
      <c r="H23" s="58"/>
      <c r="I23" s="41"/>
    </row>
    <row r="24" spans="1:9" x14ac:dyDescent="0.45">
      <c r="A24" s="44"/>
      <c r="B24" s="44"/>
      <c r="C24" s="44"/>
      <c r="D24" s="58"/>
      <c r="E24" s="58"/>
      <c r="F24" s="59"/>
      <c r="G24" s="44"/>
      <c r="H24" s="58"/>
      <c r="I24" s="41"/>
    </row>
    <row r="25" spans="1:9" x14ac:dyDescent="0.45">
      <c r="A25" s="44"/>
      <c r="B25" s="44"/>
      <c r="C25" s="44"/>
      <c r="D25" s="58"/>
      <c r="E25" s="58"/>
      <c r="F25" s="59"/>
      <c r="G25" s="44"/>
      <c r="H25" s="58"/>
      <c r="I25" s="41"/>
    </row>
    <row r="26" spans="1:9" x14ac:dyDescent="0.45">
      <c r="A26" s="44"/>
      <c r="B26" s="44"/>
      <c r="C26" s="44"/>
      <c r="D26" s="58"/>
      <c r="E26" s="58"/>
      <c r="F26" s="59"/>
      <c r="G26" s="44"/>
      <c r="H26" s="58"/>
      <c r="I26" s="41"/>
    </row>
    <row r="27" spans="1:9" x14ac:dyDescent="0.45">
      <c r="A27" s="44"/>
      <c r="B27" s="44"/>
      <c r="C27" s="44"/>
      <c r="D27" s="58"/>
      <c r="E27" s="58"/>
      <c r="F27" s="59"/>
      <c r="G27" s="44"/>
      <c r="H27" s="58"/>
      <c r="I27" s="41"/>
    </row>
    <row r="28" spans="1:9" x14ac:dyDescent="0.45">
      <c r="A28" s="44"/>
      <c r="B28" s="44"/>
      <c r="C28" s="44"/>
      <c r="D28" s="58"/>
      <c r="E28" s="58"/>
      <c r="F28" s="59"/>
      <c r="G28" s="44"/>
      <c r="H28" s="58"/>
      <c r="I28" s="41"/>
    </row>
    <row r="29" spans="1:9" x14ac:dyDescent="0.45">
      <c r="A29" s="44"/>
      <c r="B29" s="44"/>
      <c r="C29" s="44"/>
      <c r="D29" s="58"/>
      <c r="E29" s="58"/>
      <c r="F29" s="59"/>
      <c r="G29" s="44"/>
      <c r="H29" s="58"/>
      <c r="I29" s="41"/>
    </row>
    <row r="30" spans="1:9" x14ac:dyDescent="0.45">
      <c r="A30" s="44"/>
      <c r="B30" s="44"/>
      <c r="C30" s="44"/>
      <c r="D30" s="58"/>
      <c r="E30" s="58"/>
      <c r="F30" s="59"/>
      <c r="G30" s="44"/>
      <c r="H30" s="58"/>
      <c r="I30" s="41"/>
    </row>
    <row r="31" spans="1:9" x14ac:dyDescent="0.45">
      <c r="A31" s="44"/>
      <c r="B31" s="44"/>
      <c r="C31" s="44"/>
      <c r="D31" s="58"/>
      <c r="E31" s="58"/>
      <c r="F31" s="59"/>
      <c r="G31" s="44"/>
      <c r="H31" s="58"/>
      <c r="I31" s="41"/>
    </row>
    <row r="32" spans="1:9" x14ac:dyDescent="0.45">
      <c r="A32" s="44"/>
      <c r="B32" s="44"/>
      <c r="C32" s="44"/>
      <c r="D32" s="58"/>
      <c r="E32" s="58"/>
      <c r="F32" s="59"/>
      <c r="G32" s="44"/>
      <c r="H32" s="58"/>
      <c r="I32" s="41"/>
    </row>
    <row r="33" spans="1:9" x14ac:dyDescent="0.45">
      <c r="A33" s="44"/>
      <c r="B33" s="44"/>
      <c r="C33" s="44"/>
      <c r="D33" s="58"/>
      <c r="E33" s="58"/>
      <c r="F33" s="59"/>
      <c r="G33" s="44"/>
      <c r="H33" s="58"/>
      <c r="I33" s="41"/>
    </row>
    <row r="34" spans="1:9" x14ac:dyDescent="0.45">
      <c r="A34" s="44"/>
      <c r="B34" s="44"/>
      <c r="C34" s="44"/>
      <c r="D34" s="58"/>
      <c r="E34" s="58"/>
      <c r="F34" s="59"/>
      <c r="G34" s="44"/>
      <c r="H34" s="58"/>
      <c r="I34" s="41"/>
    </row>
    <row r="35" spans="1:9" x14ac:dyDescent="0.45">
      <c r="A35" s="44"/>
      <c r="B35" s="44"/>
      <c r="C35" s="44"/>
      <c r="D35" s="58"/>
      <c r="E35" s="58"/>
      <c r="F35" s="59"/>
      <c r="G35" s="44"/>
      <c r="H35" s="58"/>
      <c r="I35" s="41"/>
    </row>
    <row r="36" spans="1:9" x14ac:dyDescent="0.45">
      <c r="A36" s="44"/>
      <c r="B36" s="44"/>
      <c r="C36" s="44"/>
      <c r="D36" s="58"/>
      <c r="E36" s="58"/>
      <c r="F36" s="59"/>
      <c r="G36" s="44"/>
      <c r="H36" s="58"/>
      <c r="I36" s="41"/>
    </row>
    <row r="37" spans="1:9" x14ac:dyDescent="0.45">
      <c r="A37" s="44"/>
      <c r="B37" s="44"/>
      <c r="C37" s="44"/>
      <c r="D37" s="58"/>
      <c r="E37" s="58"/>
      <c r="F37" s="59"/>
      <c r="G37" s="44"/>
      <c r="H37" s="58"/>
      <c r="I37" s="41"/>
    </row>
    <row r="38" spans="1:9" x14ac:dyDescent="0.45">
      <c r="A38" s="44"/>
      <c r="B38" s="44"/>
      <c r="C38" s="44"/>
      <c r="D38" s="58"/>
      <c r="E38" s="58"/>
      <c r="F38" s="59"/>
      <c r="G38" s="44"/>
      <c r="H38" s="58"/>
      <c r="I38" s="41"/>
    </row>
    <row r="39" spans="1:9" x14ac:dyDescent="0.45">
      <c r="A39" s="44"/>
      <c r="B39" s="44"/>
      <c r="C39" s="44"/>
      <c r="D39" s="58"/>
      <c r="E39" s="58"/>
      <c r="F39" s="59"/>
      <c r="G39" s="44"/>
      <c r="H39" s="58"/>
      <c r="I39" s="41"/>
    </row>
    <row r="40" spans="1:9" x14ac:dyDescent="0.45">
      <c r="A40" s="44"/>
      <c r="B40" s="44"/>
      <c r="C40" s="44"/>
      <c r="D40" s="58"/>
      <c r="E40" s="58"/>
      <c r="F40" s="59"/>
      <c r="G40" s="44"/>
      <c r="H40" s="58"/>
      <c r="I40" s="41"/>
    </row>
    <row r="41" spans="1:9" x14ac:dyDescent="0.45">
      <c r="A41" s="44"/>
      <c r="B41" s="44"/>
      <c r="C41" s="44"/>
      <c r="D41" s="58"/>
      <c r="E41" s="58"/>
      <c r="F41" s="59"/>
      <c r="G41" s="44"/>
      <c r="H41" s="58"/>
      <c r="I41" s="41"/>
    </row>
    <row r="42" spans="1:9" x14ac:dyDescent="0.45">
      <c r="A42" s="44"/>
      <c r="B42" s="44"/>
      <c r="C42" s="44"/>
      <c r="D42" s="58"/>
      <c r="E42" s="58"/>
      <c r="F42" s="59"/>
      <c r="G42" s="44"/>
      <c r="H42" s="58"/>
      <c r="I42" s="41"/>
    </row>
    <row r="43" spans="1:9" x14ac:dyDescent="0.45">
      <c r="A43" s="44"/>
      <c r="B43" s="44"/>
      <c r="C43" s="44"/>
      <c r="D43" s="58"/>
      <c r="E43" s="58"/>
      <c r="F43" s="59"/>
      <c r="G43" s="44"/>
      <c r="H43" s="58"/>
      <c r="I43" s="41"/>
    </row>
    <row r="44" spans="1:9" x14ac:dyDescent="0.45">
      <c r="A44" s="44"/>
      <c r="B44" s="44"/>
      <c r="C44" s="44"/>
      <c r="D44" s="58"/>
      <c r="E44" s="58"/>
      <c r="F44" s="59"/>
      <c r="G44" s="44"/>
      <c r="H44" s="58"/>
      <c r="I44" s="41"/>
    </row>
    <row r="45" spans="1:9" x14ac:dyDescent="0.45">
      <c r="A45" s="44"/>
      <c r="B45" s="44"/>
      <c r="C45" s="44"/>
      <c r="D45" s="58"/>
      <c r="E45" s="58"/>
      <c r="F45" s="59"/>
      <c r="G45" s="44"/>
      <c r="H45" s="58"/>
      <c r="I45" s="41"/>
    </row>
  </sheetData>
  <mergeCells count="1">
    <mergeCell ref="A1:I1"/>
  </mergeCells>
  <dataValidations count="1">
    <dataValidation type="list" allowBlank="1" showErrorMessage="1" error="Pick a level from 0 to 4." sqref="F6:F45" xr:uid="{00000000-0002-0000-0400-000001000000}">
      <formula1>"0,1,2,3,4"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Skills!$B$6:$B$20</xm:f>
          </x14:formula1>
          <x14:formula2>
            <xm:f>0</xm:f>
          </x14:formula2>
          <xm:sqref>A6:A45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41414"/>
    <pageSetUpPr fitToPage="1"/>
  </sheetPr>
  <dimension ref="A1:C40"/>
  <sheetViews>
    <sheetView showGridLines="0" tabSelected="1" zoomScaleNormal="100" workbookViewId="0">
      <selection sqref="A1:C1"/>
    </sheetView>
  </sheetViews>
  <sheetFormatPr defaultColWidth="8.6640625" defaultRowHeight="14.25" x14ac:dyDescent="0.45"/>
  <cols>
    <col min="1" max="1" width="3" customWidth="1"/>
    <col min="2" max="2" width="5" customWidth="1"/>
    <col min="3" max="3" width="92" customWidth="1"/>
  </cols>
  <sheetData>
    <row r="1" spans="1:3" ht="51.75" customHeight="1" x14ac:dyDescent="0.45">
      <c r="A1" s="14" t="s">
        <v>126</v>
      </c>
      <c r="B1" s="14"/>
      <c r="C1" s="14"/>
    </row>
    <row r="3" spans="1:3" ht="19.5" customHeight="1" x14ac:dyDescent="0.45">
      <c r="B3" s="69" t="s">
        <v>127</v>
      </c>
      <c r="C3" s="69"/>
    </row>
    <row r="5" spans="1:3" ht="19.5" customHeight="1" x14ac:dyDescent="0.45">
      <c r="B5" s="61" t="s">
        <v>128</v>
      </c>
      <c r="C5" s="62" t="s">
        <v>129</v>
      </c>
    </row>
    <row r="6" spans="1:3" ht="31.5" customHeight="1" x14ac:dyDescent="0.45">
      <c r="C6" s="16" t="s">
        <v>130</v>
      </c>
    </row>
    <row r="8" spans="1:3" ht="19.5" customHeight="1" x14ac:dyDescent="0.45">
      <c r="B8" s="61" t="s">
        <v>131</v>
      </c>
      <c r="C8" s="62" t="s">
        <v>132</v>
      </c>
    </row>
    <row r="9" spans="1:3" ht="31.5" customHeight="1" x14ac:dyDescent="0.45">
      <c r="C9" s="16" t="s">
        <v>133</v>
      </c>
    </row>
    <row r="11" spans="1:3" ht="19.5" customHeight="1" x14ac:dyDescent="0.45">
      <c r="B11" s="61" t="s">
        <v>134</v>
      </c>
      <c r="C11" s="62" t="s">
        <v>135</v>
      </c>
    </row>
    <row r="12" spans="1:3" ht="31.5" customHeight="1" x14ac:dyDescent="0.45">
      <c r="C12" s="16" t="s">
        <v>136</v>
      </c>
    </row>
    <row r="14" spans="1:3" ht="19.5" customHeight="1" x14ac:dyDescent="0.45">
      <c r="B14" s="61" t="s">
        <v>137</v>
      </c>
      <c r="C14" s="62" t="s">
        <v>138</v>
      </c>
    </row>
    <row r="15" spans="1:3" ht="31.5" customHeight="1" x14ac:dyDescent="0.45">
      <c r="C15" s="16" t="s">
        <v>139</v>
      </c>
    </row>
    <row r="17" spans="2:3" ht="19.5" customHeight="1" x14ac:dyDescent="0.45">
      <c r="B17" s="61" t="s">
        <v>140</v>
      </c>
      <c r="C17" s="62" t="s">
        <v>141</v>
      </c>
    </row>
    <row r="18" spans="2:3" ht="31.5" customHeight="1" x14ac:dyDescent="0.45">
      <c r="C18" s="16" t="s">
        <v>142</v>
      </c>
    </row>
    <row r="20" spans="2:3" ht="19.5" customHeight="1" x14ac:dyDescent="0.45">
      <c r="B20" s="61" t="s">
        <v>143</v>
      </c>
      <c r="C20" s="62" t="s">
        <v>144</v>
      </c>
    </row>
    <row r="21" spans="2:3" ht="31.5" customHeight="1" x14ac:dyDescent="0.45">
      <c r="C21" s="16" t="s">
        <v>145</v>
      </c>
    </row>
    <row r="23" spans="2:3" ht="24" customHeight="1" x14ac:dyDescent="0.45">
      <c r="B23" s="70" t="s">
        <v>146</v>
      </c>
      <c r="C23" s="70"/>
    </row>
    <row r="24" spans="2:3" ht="19.5" customHeight="1" x14ac:dyDescent="0.45">
      <c r="B24" s="63"/>
      <c r="C24" s="64" t="s">
        <v>147</v>
      </c>
    </row>
    <row r="25" spans="2:3" ht="18" customHeight="1" x14ac:dyDescent="0.45">
      <c r="B25" s="65" t="s">
        <v>148</v>
      </c>
      <c r="C25" s="64" t="s">
        <v>149</v>
      </c>
    </row>
    <row r="26" spans="2:3" ht="18" customHeight="1" x14ac:dyDescent="0.45">
      <c r="B26" s="65" t="s">
        <v>148</v>
      </c>
      <c r="C26" s="64" t="s">
        <v>150</v>
      </c>
    </row>
    <row r="27" spans="2:3" ht="18" customHeight="1" x14ac:dyDescent="0.45">
      <c r="B27" s="65" t="s">
        <v>148</v>
      </c>
      <c r="C27" s="64" t="s">
        <v>151</v>
      </c>
    </row>
    <row r="28" spans="2:3" ht="18" customHeight="1" x14ac:dyDescent="0.45">
      <c r="B28" s="65" t="s">
        <v>148</v>
      </c>
      <c r="C28" s="64" t="s">
        <v>152</v>
      </c>
    </row>
    <row r="29" spans="2:3" ht="18" customHeight="1" x14ac:dyDescent="0.45">
      <c r="B29" s="65" t="s">
        <v>148</v>
      </c>
      <c r="C29" s="64" t="s">
        <v>153</v>
      </c>
    </row>
    <row r="31" spans="2:3" ht="24" customHeight="1" x14ac:dyDescent="0.45">
      <c r="B31" s="70" t="s">
        <v>154</v>
      </c>
      <c r="C31" s="70"/>
    </row>
    <row r="32" spans="2:3" ht="18" customHeight="1" x14ac:dyDescent="0.45">
      <c r="B32" s="65" t="s">
        <v>148</v>
      </c>
      <c r="C32" s="64" t="s">
        <v>155</v>
      </c>
    </row>
    <row r="33" spans="2:3" ht="18" customHeight="1" x14ac:dyDescent="0.45">
      <c r="B33" s="65" t="s">
        <v>148</v>
      </c>
      <c r="C33" s="64" t="s">
        <v>156</v>
      </c>
    </row>
    <row r="34" spans="2:3" ht="18" customHeight="1" x14ac:dyDescent="0.45">
      <c r="B34" s="65" t="s">
        <v>148</v>
      </c>
      <c r="C34" s="64" t="s">
        <v>157</v>
      </c>
    </row>
    <row r="35" spans="2:3" ht="18" customHeight="1" x14ac:dyDescent="0.45">
      <c r="B35" s="65" t="s">
        <v>148</v>
      </c>
      <c r="C35" s="64" t="s">
        <v>158</v>
      </c>
    </row>
    <row r="36" spans="2:3" ht="18" customHeight="1" x14ac:dyDescent="0.45">
      <c r="B36" s="65" t="s">
        <v>148</v>
      </c>
      <c r="C36" s="64" t="s">
        <v>159</v>
      </c>
    </row>
    <row r="38" spans="2:3" ht="33.75" customHeight="1" x14ac:dyDescent="0.45">
      <c r="C38" s="60" t="s">
        <v>160</v>
      </c>
    </row>
    <row r="40" spans="2:3" x14ac:dyDescent="0.45">
      <c r="C40" s="35" t="s">
        <v>161</v>
      </c>
    </row>
  </sheetData>
  <mergeCells count="4">
    <mergeCell ref="A1:C1"/>
    <mergeCell ref="B3:C3"/>
    <mergeCell ref="B23:C23"/>
    <mergeCell ref="B31:C31"/>
  </mergeCells>
  <pageMargins left="0.75" right="0.75" top="1" bottom="1" header="0.511811023622047" footer="0.511811023622047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Start Here</vt:lpstr>
      <vt:lpstr>Skills</vt:lpstr>
      <vt:lpstr>Matrix</vt:lpstr>
      <vt:lpstr>Coverage</vt:lpstr>
      <vt:lpstr>Training Plan</vt:lpstr>
      <vt:lpstr>Make It Stick</vt:lpstr>
      <vt:lpstr>Coverage!Print_Area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Skill Matrix — Free Template</dc:title>
  <dc:subject>Skill matrix template for manufacturing</dc:subject>
  <dc:creator>Andon Tool</dc:creator>
  <dc:description/>
  <cp:lastModifiedBy>Andon Tool</cp:lastModifiedBy>
  <cp:revision>0</cp:revision>
  <dcterms:created xsi:type="dcterms:W3CDTF">2026-10-15T02:25:08Z</dcterms:created>
  <dcterms:modified xsi:type="dcterms:W3CDTF">2026-10-15T02:33:58Z</dcterms:modified>
  <dc:language>en-US</dc:language>
</cp:coreProperties>
</file>